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mc:AlternateContent xmlns:mc="http://schemas.openxmlformats.org/markup-compatibility/2006">
    <mc:Choice Requires="x15">
      <x15ac:absPath xmlns:x15ac="http://schemas.microsoft.com/office/spreadsheetml/2010/11/ac" url="/Users/kokohouedakor/Documents/JUBILEE/DEPARTEMENT_GEO/CEA_Ville_Durable/30_Janvier_21/PTBA_/PTBA_REVU_NOVEMBRE 2022/"/>
    </mc:Choice>
  </mc:AlternateContent>
  <xr:revisionPtr revIDLastSave="0" documentId="8_{5E50FDA1-E8FD-8442-989B-A2183C2BBDB5}" xr6:coauthVersionLast="47" xr6:coauthVersionMax="47" xr10:uidLastSave="{00000000-0000-0000-0000-000000000000}"/>
  <bookViews>
    <workbookView xWindow="1300" yWindow="500" windowWidth="25800" windowHeight="13440" xr2:uid="{00000000-000D-0000-FFFF-FFFF00000000}"/>
  </bookViews>
  <sheets>
    <sheet name="PTBA 2023 CERViDA" sheetId="30" r:id="rId1"/>
    <sheet name="RECAPITULATIF" sheetId="31" r:id="rId2"/>
    <sheet name="Feuil2" sheetId="33" r:id="rId3"/>
  </sheets>
  <definedNames>
    <definedName name="_xlnm.Print_Area" localSheetId="0">'PTBA 2023 CERViDA'!$A$1:$AA$125</definedName>
    <definedName name="_xlnm.Print_Area" localSheetId="1">RECAPITULATIF!$A$3:$E$12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100" i="30" l="1"/>
  <c r="W69" i="30"/>
  <c r="W18" i="30"/>
  <c r="X18" i="30" s="1"/>
  <c r="W12" i="30"/>
  <c r="X12" i="30" s="1"/>
  <c r="W162" i="30"/>
  <c r="W140" i="30"/>
  <c r="W139" i="30" l="1"/>
  <c r="X139" i="30"/>
  <c r="W115" i="30"/>
  <c r="W90" i="30"/>
  <c r="W89" i="30"/>
  <c r="W87" i="30"/>
  <c r="W65" i="30"/>
  <c r="W60" i="30"/>
  <c r="X60" i="30" s="1"/>
  <c r="W58" i="30"/>
  <c r="X58" i="30" s="1"/>
  <c r="W55" i="30"/>
  <c r="X55" i="30" s="1"/>
  <c r="W54" i="30"/>
  <c r="W51" i="30"/>
  <c r="X51" i="30" s="1"/>
  <c r="W45" i="30"/>
  <c r="X45" i="30" s="1"/>
  <c r="W43" i="30"/>
  <c r="X43" i="30" s="1"/>
  <c r="W39" i="30"/>
  <c r="X39" i="30" s="1"/>
  <c r="W37" i="30"/>
  <c r="W30" i="30"/>
  <c r="W28" i="30"/>
  <c r="W27" i="30"/>
  <c r="W26" i="30"/>
  <c r="W23" i="30"/>
  <c r="W19" i="30"/>
  <c r="W16" i="30"/>
  <c r="W13" i="30"/>
  <c r="X13" i="30" s="1"/>
  <c r="W11" i="30"/>
  <c r="X11" i="30" s="1"/>
  <c r="X142" i="30"/>
  <c r="X143" i="30"/>
  <c r="X144" i="30"/>
  <c r="X145" i="30"/>
  <c r="X146" i="30"/>
  <c r="X147" i="30"/>
  <c r="X148" i="30"/>
  <c r="X149" i="30"/>
  <c r="X150" i="30"/>
  <c r="X151" i="30"/>
  <c r="X152" i="30"/>
  <c r="X153" i="30"/>
  <c r="X154" i="30"/>
  <c r="X155" i="30"/>
  <c r="X156" i="30"/>
  <c r="X157" i="30"/>
  <c r="X158" i="30"/>
  <c r="X159" i="30"/>
  <c r="X160" i="30"/>
  <c r="X161" i="30"/>
  <c r="X163" i="30"/>
  <c r="X164" i="30"/>
  <c r="X165" i="30"/>
  <c r="X166" i="30"/>
  <c r="X167" i="30"/>
  <c r="X168" i="30"/>
  <c r="X169" i="30"/>
  <c r="X170" i="30"/>
  <c r="X171" i="30"/>
  <c r="X172" i="30"/>
  <c r="X173" i="30"/>
  <c r="X174" i="30"/>
  <c r="X175" i="30"/>
  <c r="X176" i="30"/>
  <c r="X177" i="30"/>
  <c r="X178" i="30"/>
  <c r="X179" i="30"/>
  <c r="X141" i="30"/>
  <c r="X130" i="30"/>
  <c r="X131" i="30"/>
  <c r="X132" i="30"/>
  <c r="X133" i="30"/>
  <c r="X134" i="30"/>
  <c r="X135" i="30"/>
  <c r="X136" i="30"/>
  <c r="X137" i="30"/>
  <c r="X138" i="30"/>
  <c r="X129" i="30"/>
  <c r="W127" i="30"/>
  <c r="X127" i="30" s="1"/>
  <c r="X128" i="30"/>
  <c r="X125" i="30"/>
  <c r="X113" i="30"/>
  <c r="X114" i="30"/>
  <c r="X116" i="30"/>
  <c r="X117" i="30"/>
  <c r="X118" i="30"/>
  <c r="X107" i="30"/>
  <c r="X105" i="30"/>
  <c r="X99" i="30"/>
  <c r="X101" i="30"/>
  <c r="X88" i="30"/>
  <c r="X91" i="30"/>
  <c r="X92" i="30"/>
  <c r="X93" i="30"/>
  <c r="X94" i="30"/>
  <c r="X76" i="30"/>
  <c r="X77" i="30"/>
  <c r="X78" i="30"/>
  <c r="X79" i="30"/>
  <c r="X81" i="30"/>
  <c r="X82" i="30"/>
  <c r="X83" i="30"/>
  <c r="X84" i="30"/>
  <c r="X75" i="30"/>
  <c r="X64" i="30"/>
  <c r="X49" i="30"/>
  <c r="X50" i="30"/>
  <c r="X52" i="30"/>
  <c r="X53" i="30"/>
  <c r="X57" i="30"/>
  <c r="X48" i="30"/>
  <c r="X41" i="30"/>
  <c r="X44" i="30"/>
  <c r="X14" i="30"/>
  <c r="W126" i="30" l="1"/>
  <c r="X140" i="30"/>
  <c r="X162" i="30"/>
  <c r="X54" i="30"/>
  <c r="X69" i="30"/>
  <c r="W71" i="30"/>
  <c r="X71" i="30" s="1"/>
  <c r="W109" i="30"/>
  <c r="X109" i="30" s="1"/>
  <c r="W124" i="30"/>
  <c r="X124" i="30" s="1"/>
  <c r="W123" i="30"/>
  <c r="X123" i="30" s="1"/>
  <c r="W34" i="30"/>
  <c r="X34" i="30" s="1"/>
  <c r="W33" i="30"/>
  <c r="X33" i="30" s="1"/>
  <c r="X30" i="30"/>
  <c r="W17" i="30"/>
  <c r="X17" i="30" s="1"/>
  <c r="X16" i="30"/>
  <c r="W15" i="30"/>
  <c r="X15" i="30" s="1"/>
  <c r="AB77" i="30"/>
  <c r="W24" i="30"/>
  <c r="X24" i="30" s="1"/>
  <c r="W122" i="30" l="1"/>
  <c r="W20" i="30"/>
  <c r="X20" i="30" s="1"/>
  <c r="W21" i="30"/>
  <c r="X21" i="30" s="1"/>
  <c r="X37" i="30"/>
  <c r="W120" i="30"/>
  <c r="X120" i="30" s="1"/>
  <c r="W119" i="30"/>
  <c r="X119" i="30" s="1"/>
  <c r="X115" i="30"/>
  <c r="W112" i="30"/>
  <c r="X112" i="30" s="1"/>
  <c r="W110" i="30"/>
  <c r="X110" i="30" s="1"/>
  <c r="W108" i="30"/>
  <c r="X108" i="30" s="1"/>
  <c r="W106" i="30"/>
  <c r="X106" i="30" s="1"/>
  <c r="W102" i="30"/>
  <c r="X102" i="30" s="1"/>
  <c r="X100" i="30"/>
  <c r="W98" i="30"/>
  <c r="X98" i="30" s="1"/>
  <c r="W96" i="30"/>
  <c r="X96" i="30" s="1"/>
  <c r="W95" i="30"/>
  <c r="X95" i="30" s="1"/>
  <c r="X90" i="30"/>
  <c r="X89" i="30"/>
  <c r="X87" i="30"/>
  <c r="W85" i="30"/>
  <c r="X85" i="30" s="1"/>
  <c r="W80" i="30"/>
  <c r="X80" i="30" s="1"/>
  <c r="W72" i="30"/>
  <c r="X72" i="30" s="1"/>
  <c r="W68" i="30"/>
  <c r="X68" i="30" s="1"/>
  <c r="W67" i="30"/>
  <c r="X67" i="30" s="1"/>
  <c r="X65" i="30"/>
  <c r="W63" i="30"/>
  <c r="X63" i="30" s="1"/>
  <c r="W62" i="30"/>
  <c r="X62" i="30" s="1"/>
  <c r="W121" i="30" l="1"/>
  <c r="X121" i="30" s="1"/>
  <c r="X122" i="30"/>
  <c r="X126" i="30"/>
  <c r="C11" i="31"/>
  <c r="D11" i="31" s="1"/>
  <c r="W32" i="30"/>
  <c r="X32" i="30" s="1"/>
  <c r="W31" i="30" l="1"/>
  <c r="X31" i="30" s="1"/>
  <c r="W29" i="30"/>
  <c r="X29" i="30" s="1"/>
  <c r="X28" i="30"/>
  <c r="X27" i="30" l="1"/>
  <c r="X26" i="30"/>
  <c r="W25" i="30"/>
  <c r="X25" i="30" s="1"/>
  <c r="X23" i="30"/>
  <c r="W22" i="30"/>
  <c r="X22" i="30" s="1"/>
  <c r="X19" i="30"/>
  <c r="W97" i="30" l="1"/>
  <c r="X97" i="30" s="1"/>
  <c r="W61" i="30"/>
  <c r="X61" i="30" s="1"/>
  <c r="W38" i="30" l="1"/>
  <c r="X38" i="30" s="1"/>
  <c r="W10" i="30" l="1"/>
  <c r="W59" i="30"/>
  <c r="X59" i="30" s="1"/>
  <c r="W36" i="30"/>
  <c r="X36" i="30" s="1"/>
  <c r="W9" i="30" l="1"/>
  <c r="X9" i="30" s="1"/>
  <c r="X10" i="30"/>
  <c r="W104" i="30"/>
  <c r="X104" i="30" s="1"/>
  <c r="W111" i="30"/>
  <c r="X111" i="30" s="1"/>
  <c r="W103" i="30" l="1"/>
  <c r="X103" i="30" s="1"/>
  <c r="Y70" i="30"/>
  <c r="Y35" i="30" s="1"/>
  <c r="W70" i="30"/>
  <c r="X70" i="30" s="1"/>
  <c r="W66" i="30" l="1"/>
  <c r="X66" i="30" s="1"/>
  <c r="W47" i="30"/>
  <c r="X47" i="30" s="1"/>
  <c r="W35" i="30" l="1"/>
  <c r="W74" i="30"/>
  <c r="X74" i="30" s="1"/>
  <c r="X35" i="30" l="1"/>
  <c r="C7" i="31"/>
  <c r="W86" i="30"/>
  <c r="X86" i="30" s="1"/>
  <c r="C6" i="31" l="1"/>
  <c r="D6" i="31" l="1"/>
  <c r="C10" i="31"/>
  <c r="D10" i="31" s="1"/>
  <c r="C9" i="31" l="1"/>
  <c r="W73" i="30"/>
  <c r="X73" i="30" s="1"/>
  <c r="C8" i="31" l="1"/>
  <c r="C12" i="31" s="1"/>
  <c r="W180" i="30"/>
  <c r="X180" i="30" s="1"/>
  <c r="D7" i="31"/>
  <c r="D9" i="31"/>
  <c r="E10" i="31" l="1"/>
  <c r="E11" i="31"/>
  <c r="E8" i="31"/>
  <c r="E7" i="31"/>
  <c r="E9" i="31"/>
  <c r="E6" i="31"/>
  <c r="E12" i="31"/>
  <c r="D8" i="31"/>
  <c r="D12"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Schenineda</author>
    <author>tc={DB6D2073-351F-D04B-B174-E12227AC55B7}</author>
    <author>tc={83E2A5C7-C13F-8E43-A1AC-EB5F04EBD6B8}</author>
    <author>tc={AC238012-0E88-7841-87ED-817ADF24C278}</author>
    <author>tc={F0E0D9B2-90AA-0645-BC1F-E70D3E523B70}</author>
    <author>tc={A9036790-5578-2348-A320-86CA28A91D33}</author>
    <author>tc={845A93CB-C75C-A042-8579-4C77F8A3CBB7}</author>
    <author>tc={C3E557B2-7CCA-E948-A364-9357E1EBFB25}</author>
  </authors>
  <commentList>
    <comment ref="V7" authorId="0" shapeId="0" xr:uid="{00000000-0006-0000-0000-000001000000}">
      <text>
        <r>
          <rPr>
            <b/>
            <sz val="9"/>
            <color rgb="FF000000"/>
            <rFont val="Tahoma"/>
            <family val="2"/>
          </rPr>
          <t>Schenineda:</t>
        </r>
        <r>
          <rPr>
            <sz val="9"/>
            <color rgb="FF000000"/>
            <rFont val="Tahoma"/>
            <family val="2"/>
          </rPr>
          <t xml:space="preserve">
</t>
        </r>
        <r>
          <rPr>
            <sz val="9"/>
            <color rgb="FF000000"/>
            <rFont val="Tahoma"/>
            <family val="2"/>
          </rPr>
          <t>If the addition of an activité or component requires further clarification, state it. Expecially since COVID may alter center activities and focus</t>
        </r>
      </text>
    </comment>
    <comment ref="B54" authorId="1" shapeId="0" xr:uid="{DB6D2073-351F-D04B-B174-E12227AC55B7}">
      <text>
        <r>
          <rPr>
            <sz val="11"/>
            <color rgb="FF000000"/>
            <rFont val="Calibri"/>
            <family val="2"/>
          </rPr>
          <t xml:space="preserve">[Commentaire à thread]
</t>
        </r>
        <r>
          <rPr>
            <sz val="11"/>
            <color rgb="FF000000"/>
            <rFont val="Calibri"/>
            <family val="2"/>
          </rPr>
          <t xml:space="preserve">
</t>
        </r>
        <r>
          <rPr>
            <sz val="11"/>
            <color rgb="FF000000"/>
            <rFont val="Calibri"/>
            <family val="2"/>
          </rPr>
          <t xml:space="preserve">Votre version d’Excel vous permet de lire ce commentaire à thread. Toutefois, les modifications qui y sont apportées seront supprimées si le fichier est ouvert dans une version plus récente d’Excel. En savoir plus : https://go.microsoft.com/fwlink/?linkid=870924
</t>
        </r>
        <r>
          <rPr>
            <sz val="11"/>
            <color rgb="FF000000"/>
            <rFont val="Calibri"/>
            <family val="2"/>
          </rPr>
          <t xml:space="preserve">
</t>
        </r>
        <r>
          <rPr>
            <sz val="11"/>
            <color rgb="FF000000"/>
            <rFont val="Calibri"/>
            <family val="2"/>
          </rPr>
          <t xml:space="preserve">Commentaire :
</t>
        </r>
        <r>
          <rPr>
            <sz val="11"/>
            <color rgb="FF000000"/>
            <rFont val="Calibri"/>
            <family val="2"/>
          </rPr>
          <t xml:space="preserve">    Est ce que les 38 tiennent compte de l’assurance maladie que nous avons décidé d’offrir aux étudiants nationaux? </t>
        </r>
      </text>
    </comment>
    <comment ref="B58" authorId="2" shapeId="0" xr:uid="{83E2A5C7-C13F-8E43-A1AC-EB5F04EBD6B8}">
      <text>
        <r>
          <rPr>
            <sz val="11"/>
            <color rgb="FF000000"/>
            <rFont val="Calibri"/>
            <family val="2"/>
          </rPr>
          <t xml:space="preserve">[Commentaire à thread]
</t>
        </r>
        <r>
          <rPr>
            <sz val="11"/>
            <color rgb="FF000000"/>
            <rFont val="Calibri"/>
            <family val="2"/>
          </rPr>
          <t xml:space="preserve">
</t>
        </r>
        <r>
          <rPr>
            <sz val="11"/>
            <color rgb="FF000000"/>
            <rFont val="Calibri"/>
            <family val="2"/>
          </rPr>
          <t xml:space="preserve">Votre version d’Excel vous permet de lire ce commentaire à thread. Toutefois, les modifications qui y sont apportées seront supprimées si le fichier est ouvert dans une version plus récente d’Excel. En savoir plus : https://go.microsoft.com/fwlink/?linkid=870924
</t>
        </r>
        <r>
          <rPr>
            <sz val="11"/>
            <color rgb="FF000000"/>
            <rFont val="Calibri"/>
            <family val="2"/>
          </rPr>
          <t xml:space="preserve">
</t>
        </r>
        <r>
          <rPr>
            <sz val="11"/>
            <color rgb="FF000000"/>
            <rFont val="Calibri"/>
            <family val="2"/>
          </rPr>
          <t xml:space="preserve">Commentaire :
</t>
        </r>
        <r>
          <rPr>
            <sz val="11"/>
            <color rgb="FF000000"/>
            <rFont val="Calibri"/>
            <family val="2"/>
          </rPr>
          <t xml:space="preserve">    Dans le plan d’accélération on prévu finir avec cet idl. Donc le chiffre 38 n’est pas bon</t>
        </r>
      </text>
    </comment>
    <comment ref="B60" authorId="3" shapeId="0" xr:uid="{AC238012-0E88-7841-87ED-817ADF24C278}">
      <text>
        <r>
          <rPr>
            <sz val="11"/>
            <color rgb="FF000000"/>
            <rFont val="Calibri"/>
            <family val="2"/>
          </rPr>
          <t xml:space="preserve">[Commentaire à thread]
</t>
        </r>
        <r>
          <rPr>
            <sz val="11"/>
            <color rgb="FF000000"/>
            <rFont val="Calibri"/>
            <family val="2"/>
          </rPr>
          <t xml:space="preserve">
</t>
        </r>
        <r>
          <rPr>
            <sz val="11"/>
            <color rgb="FF000000"/>
            <rFont val="Calibri"/>
            <family val="2"/>
          </rPr>
          <t xml:space="preserve">Votre version d’Excel vous permet de lire ce commentaire à thread. Toutefois, les modifications qui y sont apportées seront supprimées si le fichier est ouvert dans une version plus récente d’Excel. En savoir plus : https://go.microsoft.com/fwlink/?linkid=870924
</t>
        </r>
        <r>
          <rPr>
            <sz val="11"/>
            <color rgb="FF000000"/>
            <rFont val="Calibri"/>
            <family val="2"/>
          </rPr>
          <t xml:space="preserve">
</t>
        </r>
        <r>
          <rPr>
            <sz val="11"/>
            <color rgb="FF000000"/>
            <rFont val="Calibri"/>
            <family val="2"/>
          </rPr>
          <t xml:space="preserve">Commentaire :
</t>
        </r>
        <r>
          <rPr>
            <sz val="11"/>
            <color rgb="FF000000"/>
            <rFont val="Calibri"/>
            <family val="2"/>
          </rPr>
          <t xml:space="preserve">    Cette auto-évaluation concerne ce que le comité d’évaluation mis en place par l’université va faire en vue d’aller vers l’accréditation. Donc ce n’est pas un consultant à recruter.</t>
        </r>
      </text>
    </comment>
    <comment ref="A63" authorId="4" shapeId="0" xr:uid="{F0E0D9B2-90AA-0645-BC1F-E70D3E523B7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L’abonnement aux ressources numériques intègrent ELSEVIER. Or, il est prévu que nous puissions payer 25 000 $ l’année prochaine pour compléter les sous de l’université. Donc revoir le montant</t>
        </r>
      </text>
    </comment>
    <comment ref="B69" authorId="5" shapeId="0" xr:uid="{A9036790-5578-2348-A320-86CA28A91D33}">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C’est bon. Ceci annule le commentaire qui concerne le même poste précédemment</t>
        </r>
      </text>
    </comment>
    <comment ref="B95" authorId="6" shapeId="0" xr:uid="{845A93CB-C75C-A042-8579-4C77F8A3CBB7}">
      <text>
        <r>
          <rPr>
            <sz val="11"/>
            <color rgb="FF000000"/>
            <rFont val="Calibri"/>
            <family val="2"/>
          </rPr>
          <t xml:space="preserve">[Commentaire à thread]
</t>
        </r>
        <r>
          <rPr>
            <sz val="11"/>
            <color rgb="FF000000"/>
            <rFont val="Calibri"/>
            <family val="2"/>
          </rPr>
          <t xml:space="preserve">
</t>
        </r>
        <r>
          <rPr>
            <sz val="11"/>
            <color rgb="FF000000"/>
            <rFont val="Calibri"/>
            <family val="2"/>
          </rPr>
          <t xml:space="preserve">Votre version d’Excel vous permet de lire ce commentaire à thread. Toutefois, les modifications qui y sont apportées seront supprimées si le fichier est ouvert dans une version plus récente d’Excel. En savoir plus : https://go.microsoft.com/fwlink/?linkid=870924
</t>
        </r>
        <r>
          <rPr>
            <sz val="11"/>
            <color rgb="FF000000"/>
            <rFont val="Calibri"/>
            <family val="2"/>
          </rPr>
          <t xml:space="preserve">
</t>
        </r>
        <r>
          <rPr>
            <sz val="11"/>
            <color rgb="FF000000"/>
            <rFont val="Calibri"/>
            <family val="2"/>
          </rPr>
          <t xml:space="preserve">Commentaire :
</t>
        </r>
        <r>
          <rPr>
            <sz val="11"/>
            <color rgb="FF000000"/>
            <rFont val="Calibri"/>
            <family val="2"/>
          </rPr>
          <t xml:space="preserve">    15 c’est peu. Allons au moins à 30. Toutes les revues scoops sont en anglais. Donc même les articles qui viendront des projets de recherche seront en français et leur traductions seront à la charge du CERViDA</t>
        </r>
      </text>
    </comment>
    <comment ref="B112" authorId="7" shapeId="0" xr:uid="{C3E557B2-7CCA-E948-A364-9357E1EBFB25}">
      <text>
        <r>
          <rPr>
            <sz val="11"/>
            <color rgb="FF000000"/>
            <rFont val="Calibri"/>
            <family val="2"/>
          </rPr>
          <t xml:space="preserve">[Commentaire à thread]
</t>
        </r>
        <r>
          <rPr>
            <sz val="11"/>
            <color rgb="FF000000"/>
            <rFont val="Calibri"/>
            <family val="2"/>
          </rPr>
          <t xml:space="preserve">
</t>
        </r>
        <r>
          <rPr>
            <sz val="11"/>
            <color rgb="FF000000"/>
            <rFont val="Calibri"/>
            <family val="2"/>
          </rPr>
          <t xml:space="preserve">Votre version d’Excel vous permet de lire ce commentaire à thread. Toutefois, les modifications qui y sont apportées seront supprimées si le fichier est ouvert dans une version plus récente d’Excel. En savoir plus : https://go.microsoft.com/fwlink/?linkid=870924
</t>
        </r>
        <r>
          <rPr>
            <sz val="11"/>
            <color rgb="FF000000"/>
            <rFont val="Calibri"/>
            <family val="2"/>
          </rPr>
          <t xml:space="preserve">
</t>
        </r>
        <r>
          <rPr>
            <sz val="11"/>
            <color rgb="FF000000"/>
            <rFont val="Calibri"/>
            <family val="2"/>
          </rPr>
          <t xml:space="preserve">Commentaire :
</t>
        </r>
        <r>
          <rPr>
            <sz val="11"/>
            <color rgb="FF000000"/>
            <rFont val="Calibri"/>
            <family val="2"/>
          </rPr>
          <t xml:space="preserve">    Augmenter le nombre de doctorants à 20</t>
        </r>
      </text>
    </comment>
  </commentList>
</comments>
</file>

<file path=xl/sharedStrings.xml><?xml version="1.0" encoding="utf-8"?>
<sst xmlns="http://schemas.openxmlformats.org/spreadsheetml/2006/main" count="1411" uniqueCount="376">
  <si>
    <t>Université de Lomé/MESR</t>
  </si>
  <si>
    <t>Dans les délais prévus</t>
  </si>
  <si>
    <t>TOGO</t>
  </si>
  <si>
    <t xml:space="preserve"> </t>
  </si>
  <si>
    <t>En retard sur le programme</t>
  </si>
  <si>
    <t>Activités du plan de travail</t>
  </si>
  <si>
    <t>Description</t>
  </si>
  <si>
    <t>Contribution des partenaires
 (le cas échéant)</t>
  </si>
  <si>
    <t>Etapes / Résultats</t>
  </si>
  <si>
    <t>Si NOUVEAU, fournir une justification</t>
  </si>
  <si>
    <t>Budget estimé en dollar</t>
  </si>
  <si>
    <t>Estimation des recettes (dollar)</t>
  </si>
  <si>
    <t>Contribution du partenaire (dollar)</t>
  </si>
  <si>
    <t>Responsable</t>
  </si>
  <si>
    <t>J</t>
  </si>
  <si>
    <t>F</t>
  </si>
  <si>
    <t>M</t>
  </si>
  <si>
    <t>A</t>
  </si>
  <si>
    <t>S</t>
  </si>
  <si>
    <t>O</t>
  </si>
  <si>
    <t>N</t>
  </si>
  <si>
    <t>D</t>
  </si>
  <si>
    <t>Axe 1: GOUVERNANCE ET FONCTIONNEMENT DLI1-DLI6</t>
  </si>
  <si>
    <t>Action 1a: Opérationnalisation de l’administration du CERViDA-DOUNEDON</t>
  </si>
  <si>
    <t>Les salaires du personnel sont payés</t>
  </si>
  <si>
    <t>Direction CERViDA-DOUNEDON</t>
  </si>
  <si>
    <t>Réaliser les missions du Centre (à l'intérieur et extérieur du Togo)</t>
  </si>
  <si>
    <t>Les missions sont réalisées</t>
  </si>
  <si>
    <t>Assurer le personnel du centre</t>
  </si>
  <si>
    <t>Le personnel du centre est assuré</t>
  </si>
  <si>
    <t xml:space="preserve">La stratégie  de communication du centre est élaborée </t>
  </si>
  <si>
    <t>Le site Web du centre est  régulièrement mise à jour</t>
  </si>
  <si>
    <t>Prendre des engagements médiatiques</t>
  </si>
  <si>
    <t>Les pages publicitaires dans la presse écrite sont confectionnés</t>
  </si>
  <si>
    <t xml:space="preserve">Les spots publicitaires (audio et télé) sont réalisés
Les émissions (télé, radio) sont réalisées
Le prospectus du centre est élaboré
Le réseau téléphonique est installés
</t>
  </si>
  <si>
    <t>Le réseau internet haut débit est disponible</t>
  </si>
  <si>
    <t xml:space="preserve">Acquérir les consommables  informatiques et fournitures ( tonner, encre, papier rames, etc.) </t>
  </si>
  <si>
    <t>Maintenir et mettre à jour le logiciel Tom2pro et autres</t>
  </si>
  <si>
    <t>La maintenance du logiciel Tom2po et autres est réalisée</t>
  </si>
  <si>
    <t>Réaliser l'audit interne</t>
  </si>
  <si>
    <t>L'audit interne est réalisé</t>
  </si>
  <si>
    <t>Auditeur interne de l'Université, CERViDA-DOUNEDON</t>
  </si>
  <si>
    <t>Réaliser l'audit externe</t>
  </si>
  <si>
    <t>L'audit externe est réalisé</t>
  </si>
  <si>
    <t>Cabinet d'audit, CERViDA-DOUNEDON</t>
  </si>
  <si>
    <t>Tenir les réunions de coordination</t>
  </si>
  <si>
    <t>Les réunions de coordination sont tenues</t>
  </si>
  <si>
    <t>CERViDA-DOUNEDON</t>
  </si>
  <si>
    <t>CCS,  CoPiL et CERViDA-DOUNEDON</t>
  </si>
  <si>
    <t>CSI, CoPiL et CERViDA-DOUNEDON</t>
  </si>
  <si>
    <t>Entretenir et réparer des véhicules</t>
  </si>
  <si>
    <t>Les véhicules sont entretenus et réparés</t>
  </si>
  <si>
    <t>Acheter du carburant pour le fonctionnement, les missions au Togo et les missions de formations de courtes durée dans les pays limitrophes</t>
  </si>
  <si>
    <t>La quantité de carburant nécessaire pour le fonctionnement et pour les missions de formations de courtes durée est mise à la disposition du CERViDA-DOUNEDON</t>
  </si>
  <si>
    <t>Autres éléments du fonctionnement (électricité, eau, courrier, frais bancaires, etc)</t>
  </si>
  <si>
    <t>Les autres élément du fonctionnement sont assurés</t>
  </si>
  <si>
    <t>Axe 2 : EXCELLENCE DANS LA FORMATION DLI 3-4</t>
  </si>
  <si>
    <t>Action 2 a: Accompagnement des Masters existants</t>
  </si>
  <si>
    <t>Action 2b : Création du Master professionnel du CERVIDA-DOUNEDON</t>
  </si>
  <si>
    <t>CERVIDA-DOUNEDON</t>
  </si>
  <si>
    <t>Sélection de la thématique du master (la thématique devra déboucher sur le titre du master)</t>
  </si>
  <si>
    <t xml:space="preserve">Une thématique est choisie </t>
  </si>
  <si>
    <t>Elaboration de la maquette</t>
  </si>
  <si>
    <t>Les UE de formation sont validées</t>
  </si>
  <si>
    <t>Validation de la maquette</t>
  </si>
  <si>
    <t>Les missions sont réalisées et le enseignements du Master sont dispensés</t>
  </si>
  <si>
    <t xml:space="preserve">Identifier les besoins de renforcement des enseignants </t>
  </si>
  <si>
    <t>Lancer l'appel à candidatures (traduction des avis d'appel à candidature)</t>
  </si>
  <si>
    <t>L’appel à candidature est traduit et lancé</t>
  </si>
  <si>
    <t>Réceptionner les candidatures</t>
  </si>
  <si>
    <t>Les candidatures sont reçues</t>
  </si>
  <si>
    <t xml:space="preserve">Mettre en place du jury </t>
  </si>
  <si>
    <t>Le jury de sélection est mis en place</t>
  </si>
  <si>
    <t>Sélectionner les candidats (une retraite est organisée pour la selection)</t>
  </si>
  <si>
    <t>L’étude de dossier est réalisée et les étudiants en Master du CERViDA-DOUNEDON sont sélectionnés</t>
  </si>
  <si>
    <t xml:space="preserve">Publier les résultats de sélection </t>
  </si>
  <si>
    <t>Les résultats sont publiés</t>
  </si>
  <si>
    <t>Elaborer les critères de sélection</t>
  </si>
  <si>
    <t>La liste des critères d’attribution de bourses est élaborée</t>
  </si>
  <si>
    <t>Suivre (points) les thèses et les mémoires des étudiants</t>
  </si>
  <si>
    <t>Les points de thèses sont réalisés et les mémoires des étuduants sont suivis</t>
  </si>
  <si>
    <t>CERViDA-DOUNEDON + UL</t>
  </si>
  <si>
    <t>Constituer la liste des structures d’accueil pour les stages</t>
  </si>
  <si>
    <t>La liste des structures d’accueil pour les stages est disponible</t>
  </si>
  <si>
    <t xml:space="preserve"> -</t>
  </si>
  <si>
    <t>Signer des accords de partenariat avec les structures d’accueil</t>
  </si>
  <si>
    <t>Les accords de partenariat avec les structures d’accueil sont signés</t>
  </si>
  <si>
    <t>Action 2 d : Mise en place d’un système d’évaluation des formations</t>
  </si>
  <si>
    <t xml:space="preserve">Action 2e: Équipement de la salle multimédia en matériels informatiques et logiciels de gestion urbaine  </t>
  </si>
  <si>
    <t>CERViDA-DOUNEDON + Partenaires</t>
  </si>
  <si>
    <t>S'abonner aux ressources numériques, base de données</t>
  </si>
  <si>
    <t>Les ressources numériques (revues, etc.), les bases de données, les ouvrages, etc. en lien avec la thématique du CERViDA-DOUNEDON sont disponibles</t>
  </si>
  <si>
    <t>Action 2 f: Amélioration de la formation doctorale</t>
  </si>
  <si>
    <t>Publier l'appel à candidature (Traduction des avis en anglais)</t>
  </si>
  <si>
    <t>Les publications sont émises</t>
  </si>
  <si>
    <t xml:space="preserve">Sélectionner les candidats (Retraite pour la selection présidé par un membre du conseil scientifique international) </t>
  </si>
  <si>
    <t>Les candidats sont sélectionnés</t>
  </si>
  <si>
    <t>Les bourses sont octroyées aux doctorants</t>
  </si>
  <si>
    <t>Action 2.g: Mise en place des formations continues / courte durée</t>
  </si>
  <si>
    <t>Diffuser les offres de formation continue / courte durée</t>
  </si>
  <si>
    <t>Les offres de formations sont diffusées</t>
  </si>
  <si>
    <t>AXE 3: EXCELLENCE DANS LA RECHERCHE DLI5</t>
  </si>
  <si>
    <t>Action 3a: Préparation de la recherche</t>
  </si>
  <si>
    <t>Les structures de recherche de CERViDA-DOUNEDON sont renforcés</t>
  </si>
  <si>
    <t>Dérouler le marché d'acquisition des équipements</t>
  </si>
  <si>
    <t>Réceptionner les équipements de recherche et d'application du CERViDA-DOUNEDON</t>
  </si>
  <si>
    <t>Identifier les besoins</t>
  </si>
  <si>
    <t>Les structures de recherche des partenaires du CERViDA-DOUNEDON sont renforcés</t>
  </si>
  <si>
    <t>Acquérir les équipements de recherche aux partenaires</t>
  </si>
  <si>
    <t>Réceptionner les équipements de recherche aux partenaires du CERViDA-DOUNEDON</t>
  </si>
  <si>
    <t>Identifier les thèmes de recherches</t>
  </si>
  <si>
    <t>Les projets de recherches sont sélectionnés</t>
  </si>
  <si>
    <t>Chosir les thèmes porteurs</t>
  </si>
  <si>
    <t>Lancer les appels à projets</t>
  </si>
  <si>
    <t>Constituer le jury international de sélection</t>
  </si>
  <si>
    <t>Sélectionner les projets (Atelier) avec les membres de Conseil Scientique International (CSI)</t>
  </si>
  <si>
    <t>Action 3b: Animation et mise en œuvre de la recherche</t>
  </si>
  <si>
    <t>Renforcer les capacités en montage de projets nationaux et internationaux</t>
  </si>
  <si>
    <t>Les capacités pour le montage des projets sont renforcés</t>
  </si>
  <si>
    <t>Identifier les appels à projets nationaux et internationaux</t>
  </si>
  <si>
    <t>Les appels à projets sont identifiés</t>
  </si>
  <si>
    <t>Elaborer les dossiers de candidature</t>
  </si>
  <si>
    <t>Les dossiers de soumission élaborés</t>
  </si>
  <si>
    <t>Participer aux appels à candidature</t>
  </si>
  <si>
    <t>Les candidatures sont soumis</t>
  </si>
  <si>
    <t>Action 3c: Soutien à la recherche doctorale</t>
  </si>
  <si>
    <t>Les aptitudes des doctorants sont renforcées dans la recherche et l’orientation méthodologique</t>
  </si>
  <si>
    <t>AXE 4: IMPACT DE DEVELOPPEMENT DLI2-DLI4</t>
  </si>
  <si>
    <t xml:space="preserve">Action 4a: Valorisation des activités de recherche et entreprenariat </t>
  </si>
  <si>
    <t>Les données existantes sur les villes sont inventoriées et analysées ;
La synthèse de l’utilisation des données existantes est réalisée ; 
Le scénario pour la constitution d’un observatoire de gestion urbaine est élaboré
L’observatoire de gestion urbaine est créée.</t>
  </si>
  <si>
    <t>Direction CERViDA-DOUNEDON + Partenaires</t>
  </si>
  <si>
    <t>Appuyer à la création de l'observatoire de gestion urbain</t>
  </si>
  <si>
    <t>Activité de veille sur la gestion urbaine</t>
  </si>
  <si>
    <t>Dérouler les journées, conférences, forum</t>
  </si>
  <si>
    <t>Les stages sont réalisés</t>
  </si>
  <si>
    <t>Action 4b:Valorisation des activités de recherche et internationalisation</t>
  </si>
  <si>
    <t xml:space="preserve">Publication </t>
  </si>
  <si>
    <t>AXE : 5  INFRASTRUCTURES PEDAGOGIQUES ET DE RECHERCHES DLI4</t>
  </si>
  <si>
    <t xml:space="preserve">Action 5a: Renforcement des infrastructures du CERViDA-DOUNEDON </t>
  </si>
  <si>
    <t xml:space="preserve">Les travaux ont démarré et le suivi-contrôle est réalisé </t>
  </si>
  <si>
    <t>COMPOSANTES</t>
  </si>
  <si>
    <t>USD</t>
  </si>
  <si>
    <t>F CFA</t>
  </si>
  <si>
    <t>%</t>
  </si>
  <si>
    <t>GOUVERNANCE ET FONCTIONNEMENT</t>
  </si>
  <si>
    <t>EXCELLENCE DANS L'ENSEIGNEMENT ET LA FORMATION</t>
  </si>
  <si>
    <t>EXCELLENCE DANS LA RECHERCHE</t>
  </si>
  <si>
    <t>IMPACT DE DEVELOPPEMENT</t>
  </si>
  <si>
    <t>INFRASTRUCTURE PEDAGOGIQUE ET DE RECHERCHE</t>
  </si>
  <si>
    <t>TOTAL</t>
  </si>
  <si>
    <t>1 réunion du CSI est organisée</t>
  </si>
  <si>
    <t>Les besoins en renforcement capacités et formateurs sont identifiés,</t>
  </si>
  <si>
    <t>CERVIDA-DOUNEDON, UL</t>
  </si>
  <si>
    <t>Dérouler une formation continue</t>
  </si>
  <si>
    <t xml:space="preserve">Organiser une (1) réunion du Comité Scientifique International (CSI) </t>
  </si>
  <si>
    <t xml:space="preserve"> La capacité de 5 enseignants sont renforcées</t>
  </si>
  <si>
    <t>Acquérir les équipements de la salle multimédia en matériels informatiques</t>
  </si>
  <si>
    <t>Les équipements de la salle multimédia en matériels informatiques</t>
  </si>
  <si>
    <t xml:space="preserve">Suivre et contrôler les travaux </t>
  </si>
  <si>
    <t>Organiser 2 réunions du Comité consultatif sectoriel (CCS)</t>
  </si>
  <si>
    <t>2 réunions du CCS  sont organisées</t>
  </si>
  <si>
    <t>Assurer deux (2) véhicules</t>
  </si>
  <si>
    <t>Identification des formateurs</t>
  </si>
  <si>
    <t>Soutien aux étudiants dans les recherches sur le terrain</t>
  </si>
  <si>
    <t>Le Centre est équipé</t>
  </si>
  <si>
    <t>Identification du public cible</t>
  </si>
  <si>
    <t xml:space="preserve">Payer les salaires du personnel technique </t>
  </si>
  <si>
    <t>Elaborer et valider la stratégie  de communication</t>
  </si>
  <si>
    <t>Acquerir les mobiliers de bureau</t>
  </si>
  <si>
    <t>Produire les outils de communication - bulletins d’information,  brochures, fiches d’information, gadgets, T-Shirt, infographies,vidéos</t>
  </si>
  <si>
    <t>Abonner au réseau internet haut débit (Connexion internet)</t>
  </si>
  <si>
    <t>Prof.  Coffi AHOLOU</t>
  </si>
  <si>
    <t>Formation des enseignants pour l'appropriation des méthodes d'enseignement à distance</t>
  </si>
  <si>
    <t>1 formation continue est déroulée (Formation de 100 personnes)</t>
  </si>
  <si>
    <t>Solder les financements des projet de recherches de 2022</t>
  </si>
  <si>
    <t>Traduire 15 manuscrits</t>
  </si>
  <si>
    <t>Publier 15 manuscrits (organiser un atelier de redaction des manuscrits)</t>
  </si>
  <si>
    <t xml:space="preserve">Pré-évaluation de 15 manuscrits </t>
  </si>
  <si>
    <t>Exécuter les travaux</t>
  </si>
  <si>
    <t>Equipement du centre construit</t>
  </si>
  <si>
    <r>
      <t>Plan de travail annuel</t>
    </r>
    <r>
      <rPr>
        <b/>
        <sz val="11"/>
        <rFont val="Arial Narrow"/>
        <family val="2"/>
      </rPr>
      <t xml:space="preserve"> janvier 2023</t>
    </r>
  </si>
  <si>
    <t>Les consommables informatiques et fournitures et fournitures de bureaux sont acquis</t>
  </si>
  <si>
    <t>Les matériels informatiques complémentaires sont acquis</t>
  </si>
  <si>
    <t>Les mobiliers de bureaux sont acquis</t>
  </si>
  <si>
    <t xml:space="preserve">Les projets retenus (10) sont mis en oeuvre </t>
  </si>
  <si>
    <t xml:space="preserve">15 manuscrits sont traduits </t>
  </si>
  <si>
    <t>Les financements des projets de recherche de l'année 2022 sont soldés</t>
  </si>
  <si>
    <t>les enseignants chercheurs (5) et doctorants (10) dont les résumés sont acceptés ont participé aux manifestations scientifiques</t>
  </si>
  <si>
    <t>Identification des resultats de projets satisfaisants</t>
  </si>
  <si>
    <t>Le fonctionnement de la revue scientifiques internationale sur les villes durables est assuré</t>
  </si>
  <si>
    <t>Soumissions des articles</t>
  </si>
  <si>
    <t>Choix du support</t>
  </si>
  <si>
    <t>Lancement de l'appel à contribution</t>
  </si>
  <si>
    <t xml:space="preserve">Sélection des soumissions </t>
  </si>
  <si>
    <t>RECAPITULATIF DU PROGRAMME DE TRAVAIL ET BUDGET ANNUEL  2023-CERViDA-DOUNEDON</t>
  </si>
  <si>
    <r>
      <rPr>
        <b/>
        <sz val="11"/>
        <color theme="1"/>
        <rFont val="Arial Narrow"/>
        <family val="2"/>
      </rPr>
      <t>Activité 1</t>
    </r>
    <r>
      <rPr>
        <sz val="11"/>
        <color theme="1"/>
        <rFont val="Arial Narrow"/>
        <family val="2"/>
      </rPr>
      <t xml:space="preserve"> : Auto évaluation des formations du CERViDA-DOUNEDON</t>
    </r>
  </si>
  <si>
    <r>
      <rPr>
        <b/>
        <sz val="11"/>
        <color theme="1"/>
        <rFont val="Arial Narrow"/>
        <family val="2"/>
      </rPr>
      <t>Activité 3:</t>
    </r>
    <r>
      <rPr>
        <sz val="11"/>
        <color theme="1"/>
        <rFont val="Arial Narrow"/>
        <family val="2"/>
      </rPr>
      <t xml:space="preserve"> Formation des enseignants pour l'appropriation des méthodes de pédagogie numérique</t>
    </r>
  </si>
  <si>
    <r>
      <rPr>
        <b/>
        <sz val="11"/>
        <color theme="1"/>
        <rFont val="Arial Narrow"/>
        <family val="2"/>
      </rPr>
      <t>Activité 2 :</t>
    </r>
    <r>
      <rPr>
        <sz val="11"/>
        <color theme="1"/>
        <rFont val="Arial Narrow"/>
        <family val="2"/>
      </rPr>
      <t xml:space="preserve"> Organisation des journées entreprises (company days conférences et forum sur les villes durables)</t>
    </r>
  </si>
  <si>
    <r>
      <rPr>
        <b/>
        <sz val="11"/>
        <color theme="1"/>
        <rFont val="Arial Narrow"/>
        <family val="2"/>
      </rPr>
      <t>Activité 3 :</t>
    </r>
    <r>
      <rPr>
        <sz val="11"/>
        <color theme="1"/>
        <rFont val="Arial Narrow"/>
        <family val="2"/>
      </rPr>
      <t xml:space="preserve"> Organisation de la semaine de la communauté de savoirs villes durables dans les suds (CoSAV villes durables)</t>
    </r>
  </si>
  <si>
    <r>
      <rPr>
        <b/>
        <sz val="11"/>
        <color theme="1"/>
        <rFont val="Arial Narrow"/>
        <family val="2"/>
      </rPr>
      <t>Activité 4 :</t>
    </r>
    <r>
      <rPr>
        <sz val="11"/>
        <color theme="1"/>
        <rFont val="Arial Narrow"/>
        <family val="2"/>
      </rPr>
      <t xml:space="preserve"> Soutien aux stages en entreprise pour les enseignants du CERViDA-DOUNEDON y compris l'amélioration de l'anglais</t>
    </r>
  </si>
  <si>
    <t>La semaine de la communauté (CoSAV villes durables) est organisée</t>
  </si>
  <si>
    <r>
      <rPr>
        <b/>
        <sz val="11"/>
        <color theme="1"/>
        <rFont val="Arial Narrow"/>
        <family val="2"/>
      </rPr>
      <t>Activité 3 :</t>
    </r>
    <r>
      <rPr>
        <sz val="11"/>
        <color theme="1"/>
        <rFont val="Arial Narrow"/>
        <family val="2"/>
      </rPr>
      <t xml:space="preserve"> Soutien aux stages en entreprise</t>
    </r>
  </si>
  <si>
    <r>
      <rPr>
        <b/>
        <sz val="11"/>
        <color theme="1"/>
        <rFont val="Arial Narrow"/>
        <family val="2"/>
      </rPr>
      <t>Activité 1 :</t>
    </r>
    <r>
      <rPr>
        <sz val="11"/>
        <color theme="1"/>
        <rFont val="Arial Narrow"/>
        <family val="2"/>
      </rPr>
      <t xml:space="preserve"> Sélection des étudiants (90 )</t>
    </r>
  </si>
  <si>
    <r>
      <rPr>
        <b/>
        <sz val="11"/>
        <color theme="1"/>
        <rFont val="Arial Narrow"/>
        <family val="2"/>
      </rPr>
      <t>Activité 4 :</t>
    </r>
    <r>
      <rPr>
        <sz val="11"/>
        <color theme="1"/>
        <rFont val="Arial Narrow"/>
        <family val="2"/>
      </rPr>
      <t xml:space="preserve"> Renforcement de capacités des enseignants permanents et vacataires</t>
    </r>
  </si>
  <si>
    <r>
      <rPr>
        <b/>
        <sz val="11"/>
        <color theme="1"/>
        <rFont val="Arial Narrow"/>
        <family val="2"/>
      </rPr>
      <t xml:space="preserve">Activité 1 : </t>
    </r>
    <r>
      <rPr>
        <sz val="11"/>
        <color theme="1"/>
        <rFont val="Arial Narrow"/>
        <family val="2"/>
      </rPr>
      <t>Soutien aux activités pédagogiques de terrain</t>
    </r>
  </si>
  <si>
    <r>
      <rPr>
        <b/>
        <sz val="11"/>
        <color theme="1"/>
        <rFont val="Arial Narrow"/>
        <family val="2"/>
      </rPr>
      <t>Activité 7 :</t>
    </r>
    <r>
      <rPr>
        <sz val="11"/>
        <color theme="1"/>
        <rFont val="Arial Narrow"/>
        <family val="2"/>
      </rPr>
      <t xml:space="preserve"> Fonctionnement du matériel roulant (entretiens, réparations, carburant assurance véhicule) et autres (électricité, eau, envoie de courriers, petites réparations, etc.)</t>
    </r>
  </si>
  <si>
    <r>
      <rPr>
        <b/>
        <sz val="11"/>
        <color theme="1"/>
        <rFont val="Arial Narrow"/>
        <family val="2"/>
      </rPr>
      <t>Activité 5 :</t>
    </r>
    <r>
      <rPr>
        <sz val="11"/>
        <color theme="1"/>
        <rFont val="Arial Narrow"/>
        <family val="2"/>
      </rPr>
      <t xml:space="preserve"> Suivi évaluation de la gestion fudiciaires, recherches, formations du centre (audits internes et externes, rapport d’activités, les réunions du comité de pilotage) </t>
    </r>
  </si>
  <si>
    <r>
      <rPr>
        <b/>
        <sz val="11"/>
        <color theme="1"/>
        <rFont val="Arial Narrow"/>
        <family val="2"/>
      </rPr>
      <t>Activité 4 :</t>
    </r>
    <r>
      <rPr>
        <sz val="11"/>
        <color theme="1"/>
        <rFont val="Arial Narrow"/>
        <family val="2"/>
      </rPr>
      <t xml:space="preserve"> Acquérir les équipements pour le fonctionnement de CERViDA-DOUNEDON</t>
    </r>
  </si>
  <si>
    <r>
      <rPr>
        <b/>
        <sz val="11"/>
        <color theme="1"/>
        <rFont val="Arial Narrow"/>
        <family val="2"/>
      </rPr>
      <t>Activité  3 :</t>
    </r>
    <r>
      <rPr>
        <sz val="11"/>
        <color theme="1"/>
        <rFont val="Arial Narrow"/>
        <family val="2"/>
      </rPr>
      <t xml:space="preserve"> Installation d'un réseau internet haut débit</t>
    </r>
  </si>
  <si>
    <r>
      <rPr>
        <b/>
        <sz val="11"/>
        <color theme="1"/>
        <rFont val="Arial Narrow"/>
        <family val="2"/>
      </rPr>
      <t>Activité 2 :</t>
    </r>
    <r>
      <rPr>
        <sz val="11"/>
        <color theme="1"/>
        <rFont val="Arial Narrow"/>
        <family val="2"/>
      </rPr>
      <t xml:space="preserve"> Communication et visibilité du CERViDA-DOUNEDON</t>
    </r>
  </si>
  <si>
    <r>
      <rPr>
        <b/>
        <sz val="11"/>
        <color theme="1"/>
        <rFont val="Arial Narrow"/>
        <family val="2"/>
      </rPr>
      <t>Activité 1 :</t>
    </r>
    <r>
      <rPr>
        <sz val="11"/>
        <color theme="1"/>
        <rFont val="Arial Narrow"/>
        <family val="2"/>
      </rPr>
      <t xml:space="preserve"> Mise en place de l’administration du CERViDA-DOUNEDON</t>
    </r>
  </si>
  <si>
    <r>
      <t>Mettre à jour</t>
    </r>
    <r>
      <rPr>
        <sz val="11"/>
        <color theme="1"/>
        <rFont val="Calibri"/>
        <family val="2"/>
        <scheme val="minor"/>
      </rPr>
      <t xml:space="preserve"> </t>
    </r>
    <r>
      <rPr>
        <sz val="12"/>
        <color theme="1"/>
        <rFont val="Calibri"/>
        <family val="2"/>
        <scheme val="minor"/>
      </rPr>
      <t>régulièrement le site web du CERViDA-DOUNEDON</t>
    </r>
  </si>
  <si>
    <t>Former au moins 5 enseignants et vacataires à l'extérieur</t>
  </si>
  <si>
    <t>Action 2 c: Sélection et accompagnement des étudiants des masters</t>
  </si>
  <si>
    <r>
      <rPr>
        <b/>
        <sz val="11"/>
        <color theme="1"/>
        <rFont val="Arial Narrow"/>
        <family val="2"/>
      </rPr>
      <t>Activité 2 :</t>
    </r>
    <r>
      <rPr>
        <sz val="11"/>
        <color theme="1"/>
        <rFont val="Arial Narrow"/>
        <family val="2"/>
      </rPr>
      <t xml:space="preserve"> Octroi de bourses aux étudiants bénéficiaires</t>
    </r>
  </si>
  <si>
    <r>
      <rPr>
        <b/>
        <sz val="11"/>
        <color theme="1"/>
        <rFont val="Arial Narrow"/>
        <family val="2"/>
      </rPr>
      <t>Activité 3 :</t>
    </r>
    <r>
      <rPr>
        <sz val="11"/>
        <color theme="1"/>
        <rFont val="Arial Narrow"/>
        <family val="2"/>
      </rPr>
      <t xml:space="preserve"> Suivi pédagogique des étudiants boursiers et non boursiers</t>
    </r>
  </si>
  <si>
    <r>
      <rPr>
        <b/>
        <sz val="11"/>
        <color theme="1"/>
        <rFont val="Arial Narrow"/>
        <family val="2"/>
      </rPr>
      <t>Activité 4 :</t>
    </r>
    <r>
      <rPr>
        <sz val="11"/>
        <color theme="1"/>
        <rFont val="Arial Narrow"/>
        <family val="2"/>
      </rPr>
      <t xml:space="preserve">  Stages d’immersion aux étudiants sélectionnés</t>
    </r>
  </si>
  <si>
    <r>
      <rPr>
        <b/>
        <sz val="11"/>
        <color theme="1"/>
        <rFont val="Arial Narrow"/>
        <family val="2"/>
      </rPr>
      <t>Activité 1:</t>
    </r>
    <r>
      <rPr>
        <sz val="11"/>
        <color theme="1"/>
        <rFont val="Arial Narrow"/>
        <family val="2"/>
      </rPr>
      <t xml:space="preserve"> Équipement de la salle multimédia en matériels informatiques et logiciels de gestion urbaine</t>
    </r>
  </si>
  <si>
    <r>
      <rPr>
        <b/>
        <sz val="11"/>
        <color theme="1"/>
        <rFont val="Arial Narrow"/>
        <family val="2"/>
      </rPr>
      <t>Activité 2 :</t>
    </r>
    <r>
      <rPr>
        <sz val="11"/>
        <color theme="1"/>
        <rFont val="Arial Narrow"/>
        <family val="2"/>
      </rPr>
      <t xml:space="preserve"> Abonnements aux ressources numériques, bases de données, ouvrages, etc.</t>
    </r>
  </si>
  <si>
    <r>
      <rPr>
        <b/>
        <sz val="11"/>
        <color theme="1"/>
        <rFont val="Arial Narrow"/>
        <family val="2"/>
      </rPr>
      <t>Activité 1 :</t>
    </r>
    <r>
      <rPr>
        <sz val="11"/>
        <color theme="1"/>
        <rFont val="Arial Narrow"/>
        <family val="2"/>
      </rPr>
      <t xml:space="preserve"> Identification, sélection des thèmes de formation et organisation des formations continues/courtes durées</t>
    </r>
  </si>
  <si>
    <r>
      <rPr>
        <b/>
        <sz val="11"/>
        <color theme="1"/>
        <rFont val="Arial Narrow"/>
        <family val="2"/>
      </rPr>
      <t>Activité 1 :</t>
    </r>
    <r>
      <rPr>
        <sz val="11"/>
        <color theme="1"/>
        <rFont val="Arial Narrow"/>
        <family val="2"/>
      </rPr>
      <t xml:space="preserve"> Renforcement des structures de recherche du CERViDA-DOUNEDON</t>
    </r>
  </si>
  <si>
    <r>
      <rPr>
        <b/>
        <sz val="11"/>
        <color theme="1"/>
        <rFont val="Arial Narrow"/>
        <family val="2"/>
      </rPr>
      <t>Activité 2 :</t>
    </r>
    <r>
      <rPr>
        <sz val="11"/>
        <color theme="1"/>
        <rFont val="Arial Narrow"/>
        <family val="2"/>
      </rPr>
      <t xml:space="preserve"> Renforcement des structures de recherche des partenaires</t>
    </r>
  </si>
  <si>
    <r>
      <rPr>
        <b/>
        <sz val="11"/>
        <color theme="1"/>
        <rFont val="Arial Narrow"/>
        <family val="2"/>
      </rPr>
      <t>Activité 3 :</t>
    </r>
    <r>
      <rPr>
        <sz val="11"/>
        <color theme="1"/>
        <rFont val="Arial Narrow"/>
        <family val="2"/>
      </rPr>
      <t xml:space="preserve"> Lancement des appels à projets de recherches</t>
    </r>
  </si>
  <si>
    <r>
      <rPr>
        <b/>
        <sz val="11"/>
        <color theme="1"/>
        <rFont val="Arial Narrow"/>
        <family val="2"/>
      </rPr>
      <t>Activité 1 :</t>
    </r>
    <r>
      <rPr>
        <sz val="11"/>
        <color theme="1"/>
        <rFont val="Arial Narrow"/>
        <family val="2"/>
      </rPr>
      <t xml:space="preserve"> Soutien aux équipes de recherches sélectionnées</t>
    </r>
  </si>
  <si>
    <r>
      <rPr>
        <b/>
        <sz val="11"/>
        <color theme="1"/>
        <rFont val="Arial Narrow"/>
        <family val="2"/>
      </rPr>
      <t>Activité 2 :</t>
    </r>
    <r>
      <rPr>
        <sz val="11"/>
        <color theme="1"/>
        <rFont val="Arial Narrow"/>
        <family val="2"/>
      </rPr>
      <t xml:space="preserve"> Participation du CERViDA-DOUNEDON aux appels à projets (acquisition de compétences pour répondre à des appels et pour répondre à des appels et pour le montage des dossiers </t>
    </r>
  </si>
  <si>
    <r>
      <rPr>
        <b/>
        <sz val="11"/>
        <color theme="1"/>
        <rFont val="Arial Narrow"/>
        <family val="2"/>
      </rPr>
      <t>Activité 3 :</t>
    </r>
    <r>
      <rPr>
        <sz val="11"/>
        <color theme="1"/>
        <rFont val="Arial Narrow"/>
        <family val="2"/>
      </rPr>
      <t xml:space="preserve"> Production des publications scientifiques</t>
    </r>
  </si>
  <si>
    <r>
      <rPr>
        <b/>
        <sz val="11"/>
        <color theme="1"/>
        <rFont val="Arial Narrow"/>
        <family val="2"/>
      </rPr>
      <t>Activité 1 :</t>
    </r>
    <r>
      <rPr>
        <sz val="11"/>
        <color theme="1"/>
        <rFont val="Arial Narrow"/>
        <family val="2"/>
      </rPr>
      <t xml:space="preserve"> Renforcement des aptitudes à la recherche et orientation méthodologique</t>
    </r>
  </si>
  <si>
    <r>
      <rPr>
        <b/>
        <sz val="11"/>
        <color theme="1"/>
        <rFont val="Arial Narrow"/>
        <family val="2"/>
      </rPr>
      <t>Activité 4 :</t>
    </r>
    <r>
      <rPr>
        <sz val="11"/>
        <color theme="1"/>
        <rFont val="Arial Narrow"/>
        <family val="2"/>
      </rPr>
      <t xml:space="preserve"> Soutien aux recherches de terrain</t>
    </r>
  </si>
  <si>
    <t>Soutenance de 19 doctorants</t>
  </si>
  <si>
    <r>
      <rPr>
        <b/>
        <sz val="11"/>
        <color theme="1"/>
        <rFont val="Arial Narrow"/>
        <family val="2"/>
      </rPr>
      <t>Activité 1 :</t>
    </r>
    <r>
      <rPr>
        <sz val="11"/>
        <color theme="1"/>
        <rFont val="Arial Narrow"/>
        <family val="2"/>
      </rPr>
      <t xml:space="preserve"> Appui à la création d’un observatoire de gestion urbaine</t>
    </r>
  </si>
  <si>
    <r>
      <rPr>
        <b/>
        <sz val="11"/>
        <color theme="1"/>
        <rFont val="Arial Narrow"/>
        <family val="2"/>
      </rPr>
      <t>Activité 1 :</t>
    </r>
    <r>
      <rPr>
        <sz val="11"/>
        <color theme="1"/>
        <rFont val="Arial Narrow"/>
        <family val="2"/>
      </rPr>
      <t xml:space="preserve"> Soutien à la participation aux activités scientifiques internationales des enseignants-chercheurs et des doctorants du CERViDA-DOUNEDON</t>
    </r>
  </si>
  <si>
    <r>
      <t xml:space="preserve">Activité 2 : </t>
    </r>
    <r>
      <rPr>
        <sz val="11"/>
        <color theme="1"/>
        <rFont val="Arial Narrow"/>
        <family val="2"/>
      </rPr>
      <t>Dissémination, diffusion, communication des résultats des projets de recherche</t>
    </r>
  </si>
  <si>
    <r>
      <rPr>
        <b/>
        <sz val="11"/>
        <color theme="1"/>
        <rFont val="Arial Narrow"/>
        <family val="2"/>
      </rPr>
      <t>Activité 3 :</t>
    </r>
    <r>
      <rPr>
        <sz val="11"/>
        <color theme="1"/>
        <rFont val="Arial Narrow"/>
        <family val="2"/>
      </rPr>
      <t xml:space="preserve"> Fonctionnement de la revue scientifique internationale sur les villes durables</t>
    </r>
  </si>
  <si>
    <r>
      <rPr>
        <b/>
        <sz val="11"/>
        <color theme="1"/>
        <rFont val="Arial Narrow"/>
        <family val="2"/>
      </rPr>
      <t>Activité 1 :</t>
    </r>
    <r>
      <rPr>
        <sz val="11"/>
        <color theme="1"/>
        <rFont val="Arial Narrow"/>
        <family val="2"/>
      </rPr>
      <t xml:space="preserve"> Construction et équipement du bâtiment du CERViDA-DOUNEDON</t>
    </r>
  </si>
  <si>
    <t xml:space="preserve">Renforcer les liens de solidarité entre les anciens de l'UL en favorisant la création d'associations et d'un annuaire. </t>
  </si>
  <si>
    <t xml:space="preserve">Promouvoir l'image de l'UL </t>
  </si>
  <si>
    <t>Mobiliser les anciens dans nos activités de formation et de recherche.</t>
  </si>
  <si>
    <t xml:space="preserve">Organiser des événements, conférences, ateliers, rencontres, visites, etc. </t>
  </si>
  <si>
    <t>Aider l'UL à se positionner et à mettre en place une stratégie future.</t>
  </si>
  <si>
    <t xml:space="preserve">Créer une plateforme de discussion. </t>
  </si>
  <si>
    <t>Faire fonctionner quotidiennement le centre et assistance d'autres experts.</t>
  </si>
  <si>
    <t xml:space="preserve">Mettre en place une cellule d'appui à la valorisation des résultats de la recherche. </t>
  </si>
  <si>
    <t>Renforcer les capacités de logistique numérique (achat de 20 ordinateurs et de 20 logiciels anti-plagiat).</t>
  </si>
  <si>
    <t>Organiser et soutenir les revues pour améliorer leurs performances.</t>
  </si>
  <si>
    <t xml:space="preserve">Créer une base de données pour mieux gérer la production scientifique </t>
  </si>
  <si>
    <t>ACTIVITES A METTRE EN ŒUVRE PAR LE CENTRE DANS LE CADRE DE IDL 7</t>
  </si>
  <si>
    <t xml:space="preserve">RLD 7.5.  Projet 4 : Renforcement de la stratégie de mobilisation des ressources </t>
  </si>
  <si>
    <t xml:space="preserve">Etape 12 : Création d'une Association d'anciens étudiants </t>
  </si>
  <si>
    <t>Etape 13 : Incubateur UL (U-Lab)</t>
  </si>
  <si>
    <t xml:space="preserve">Former l'équipe dirigeante avant la mise en service de l'incubateur </t>
  </si>
  <si>
    <t>Former deux personnes à l'école des Mines ALBI CARMAUX en France</t>
  </si>
  <si>
    <t>Doter l'incubateur d'infrastructures équipées : construction de 4 bureaux et d'un espace de travail collaboratif modulable</t>
  </si>
  <si>
    <t>Élaborer le programme d'accompagnement de l'incubé</t>
  </si>
  <si>
    <t>Développer le processus de recrutement des jeunes entreprises innovantes.</t>
  </si>
  <si>
    <t>Former et sensibiliser les enseignants-chercheurs et les jeunes universitaires à la nécessité d'un incubateur.</t>
  </si>
  <si>
    <t xml:space="preserve">Etape 14 : Renforcement de la valorisation de la recherche (y compris la production scientifique, etc.) </t>
  </si>
  <si>
    <t>Soutenir la participation des revues universitaires aux plateformes régionales et internationales de publications scientifiques.</t>
  </si>
  <si>
    <t xml:space="preserve">RLD 7.5.  Projet 5 : Marketing et communication institutionnelle </t>
  </si>
  <si>
    <t xml:space="preserve">Etape 15 : Renforcement des capacités des acteurs de l'UL et missions d'imprégnation sur les enjeux du marketing et de la communication institutionnelle (interne et externe) </t>
  </si>
  <si>
    <t>Organiser un atelier de formation de l'équipe de direction de la communication sur les enjeux, les axes prioritaires et les stratégies de la communication institutionnelle universitaire, de la communication numérique et de l'animation des réseaux sociaux ;</t>
  </si>
  <si>
    <t>Organiser un atelier de formation des personnels de l'UL sur les implications de la communication institutionnelle universitaire (personnels de la présidence, doyens/directeurs, enseignants-chercheurs, CSA et secrétaires principaux) ;</t>
  </si>
  <si>
    <t xml:space="preserve">Réaliser des voyages d'imprégnation dans les universités partenaires pour le partage et la capitalisation des expériences en matière de communication institutionnelle. </t>
  </si>
  <si>
    <t>Equiper le service de la communication et du protocole en matériel de reportage et matériel informatique (appareils photo, caméras, enregistreurs, ordinateurs, imprimantes).</t>
  </si>
  <si>
    <t xml:space="preserve">Etape 16 : Amélioration de la visibilité de l’Université de Lomé </t>
  </si>
  <si>
    <t>Revitaliser le site internet de l’université de Lomé</t>
  </si>
  <si>
    <t>Créer et animer la page spéciale sur le site de l’UL dédiée aux anciens élèves et étudiants de la sous-région ;</t>
  </si>
  <si>
    <t>Opérations de charme de l’image de l’Université de Lomé sur les réseaux sociaux (montage de vidéos pour les étudiants et la communauté) ;</t>
  </si>
  <si>
    <t>Emettre des émissions de radio et de télévision sur la formation et la recherche à l’UL,</t>
  </si>
  <si>
    <t>Réaliser des voyages de presse, conférences de presse</t>
  </si>
  <si>
    <t>Signer de convention avec trois (3) médias étrangers ;</t>
  </si>
  <si>
    <t>Parrainer les publications sur la page facebook.</t>
  </si>
  <si>
    <t xml:space="preserve">Etape 17 : Renforcement du partenariat entre l'UL et les acteurs socio-économiques </t>
  </si>
  <si>
    <t>Célébrer les résultats de recherche et des lauréats à travers la Nuit de l'excellence de l'UL)</t>
  </si>
  <si>
    <t>Visiter pour promouvoir l'image de l'UL auprès des chancelleries</t>
  </si>
  <si>
    <t xml:space="preserve">Organiser des places de marché, tables rondes, déjeuners d'échanges, journées portes ouvertes </t>
  </si>
  <si>
    <t>Installer le reseau internet haut debit</t>
  </si>
  <si>
    <t>Acquérir les matériels informatiques complémentaires</t>
  </si>
  <si>
    <r>
      <rPr>
        <b/>
        <sz val="11"/>
        <color theme="1"/>
        <rFont val="Arial Narrow"/>
        <family val="2"/>
      </rPr>
      <t>Activité 6 :</t>
    </r>
    <r>
      <rPr>
        <sz val="11"/>
        <color theme="1"/>
        <rFont val="Arial Narrow"/>
        <family val="2"/>
      </rPr>
      <t xml:space="preserve"> Organisation des réunions du comité consultatif  sectoriel (CCS) et d'un comité  scinetifique international (CSI)</t>
    </r>
  </si>
  <si>
    <t xml:space="preserve">RLD 7.4 : PARTICIPATION A L'INITIATIVE D’ANALYSE COMPARATIVE DU PASET </t>
  </si>
  <si>
    <t>Réaliser un état des lieux de la préparation de l'institution à la collecte de données d'analyse comparative par une enquête de lancement du projet ;</t>
  </si>
  <si>
    <t>Élaborer un plan d'intervention au niveau de l'institution pour développer ses capacités en matière de collecte et de gestion des données et pour rendre compte à l'avenir de tous les indicateurs d'analyse comparative.</t>
  </si>
  <si>
    <t>Analyser les besoins de l'institution en matière de système d'information ;</t>
  </si>
  <si>
    <t>Créer l'Observatoire de la vie universitaire (EDD) et l'alimenter avec les différentes bases de données opérationnelles ;</t>
  </si>
  <si>
    <t>Désigner des représentants et les former au benchmarking pour améliorer les systèmes institutionnels de collecte et de gestion des données ;</t>
  </si>
  <si>
    <t>Réaliser une enquête de suivi de la mise en œuvre du projet de création de l'observatoire.</t>
  </si>
  <si>
    <t>Préparer l'initiative de calibration du PASET</t>
  </si>
  <si>
    <t xml:space="preserve">Développer un plan d'intervention pour renforcer sa capacité à rapporter les indicateurs d’analyse comparative.  </t>
  </si>
  <si>
    <t>Participer à l'initiative de calibration du PASET</t>
  </si>
  <si>
    <t>Deuxième cycle</t>
  </si>
  <si>
    <t>Premier cycle universitaire</t>
  </si>
  <si>
    <t>L'état des lieux de la préparation de l'institution à la collecte de données d'analyse comparative par une enquête de lancement du projet  est réalisé;</t>
  </si>
  <si>
    <t>Le plan d'intervention au niveau de l'institution pour développer ses capacités en matière de collecte et de gestion des données et pour rendre compte à l'avenir de tous les indicateurs d'analyse comparative est élaboré.</t>
  </si>
  <si>
    <t>Les besoins de l'institution en matière de système d'information sont analysés</t>
  </si>
  <si>
    <t>L'Observatoire de la vie universitaire (EDD) est crée et est alimenté avec les différentes bases de données opérationnelles</t>
  </si>
  <si>
    <t>L'enquête du suivi de la mise en œuvre du projet de création de l'observatoire est réalisée</t>
  </si>
  <si>
    <t>L'initiative de calibration du PASET est préparé</t>
  </si>
  <si>
    <t>L'initiative de calibration du PASET est réalisé</t>
  </si>
  <si>
    <t xml:space="preserve">Le plan d'intervention pour renforcer sa capacité à rapporter les indicateurs d’analyse comparative est développé  </t>
  </si>
  <si>
    <t>L'inventaire des thématiques en lien avec les prospectives territoriales et  la planification urbaine est réalisé</t>
  </si>
  <si>
    <t>Les capacités des enseignants sont renforcées au plan national</t>
  </si>
  <si>
    <t>L'image de l'UL  est promu</t>
  </si>
  <si>
    <t xml:space="preserve">Les liens de solidarité entre les anciens de l'UL est renforcé en favorisant la création d'associations et d'un annuaire. </t>
  </si>
  <si>
    <t>Les anciens sont mobilisés dans nos activités de formation et de recherche.</t>
  </si>
  <si>
    <t xml:space="preserve">Des événements, conférences, ateliers, rencontres, visites, sont organisés  </t>
  </si>
  <si>
    <t>L'UL est aidé dans son positionnement en mettant en place une stratégie future</t>
  </si>
  <si>
    <t>L'incubateur d'infrastructures équipées est doté de : construction de 4 bureaux et d'un espace de travail collaboratif modulable</t>
  </si>
  <si>
    <t>Deux personnes sont formées à l'école des Mines ALBI CARMAUX en France</t>
  </si>
  <si>
    <t xml:space="preserve">L'équipe dirigeante est formé avant la mise en service de l'incubateur </t>
  </si>
  <si>
    <t>Le programme d'accompagnement de l'incubé est élaboré</t>
  </si>
  <si>
    <t>Le processus de recrutement des jeunes entreprises innovantes est développé</t>
  </si>
  <si>
    <t>Le centre est opérationnel</t>
  </si>
  <si>
    <t>Les enseignants-chercheurs et les jeunes universitaires sont formés et sensibilisés à la nécessité d'un incubateur.</t>
  </si>
  <si>
    <t>Une cellule d'appui à la valorisation des résultats de la recherche est mise en place</t>
  </si>
  <si>
    <t>Les capacités de logistique numérique sont renformées (achat de 20 ordinateurs et de 20 logiciels anti-plagiat)</t>
  </si>
  <si>
    <t>Les revues sont organisées et soutenues pour améliorer leurs performances</t>
  </si>
  <si>
    <t xml:space="preserve">Une base de données pour mieux gérer la production scientifique est disponible </t>
  </si>
  <si>
    <t>La participation des revues universitaires aux plateformes régionales et internationales de publications scientifiques est soutenue</t>
  </si>
  <si>
    <t>Un atelier de formation de l'équipe de direction de la communication est organisé sur les enjeux, les axes prioritaires et les stratégies de la communication institutionnelle universitaire, de la communication numérique et de l'animation des réseaux sociaux</t>
  </si>
  <si>
    <t>Un atelier de formation des personnels de l'UL est organisé sur les implications de la communication institutionnelle universitaire (personnels de la présidence, doyens/directeurs, enseignants-chercheurs, CSA et secrétaires principaux)</t>
  </si>
  <si>
    <t>Des voyages d'imprégnation dans les universités partenaires sont organisés pour le partage et la capitalisation des expériences en matière de communication institutionnelle</t>
  </si>
  <si>
    <t>Le service de la communication et du protocole sont équipés en matériel de reportage et matériel informatique (appareils photo, caméras, enregistreurs, ordinateurs, imprimantes)</t>
  </si>
  <si>
    <t>Le site internet de l’université de Lomé est revitalisé</t>
  </si>
  <si>
    <t>Créer et animer la page spéciale sur le site de l’UL dédiée aux anciens élèves et étudiants de la sous-région est créée et animé</t>
  </si>
  <si>
    <t>Opérations de charme de l’image de l’Université de Lomé sur les réseaux sociaux (montage de vidéos pour les étudiants et la communauté)</t>
  </si>
  <si>
    <t>Des émissions de radio et de télévision sont emises sur la formation et la recherche à l’UL</t>
  </si>
  <si>
    <t>Des voyages de presse et conférences de presse sont réalisées</t>
  </si>
  <si>
    <t>De convention sont signées avec trois (3) médias étrangers</t>
  </si>
  <si>
    <t>Les publications sur la page facebook sont parrainées</t>
  </si>
  <si>
    <t xml:space="preserve">Promouvoir l'image de l'UL auprès des chancelleries à travers les visites </t>
  </si>
  <si>
    <t>Les places de marché, tables rondes, déjeuners d'échanges, journées portes ouvertes sont organisés</t>
  </si>
  <si>
    <t>Les résultats de recherche et des lauréats sont célébrés à travers la Nuit de l'excellence de l'UL)</t>
  </si>
  <si>
    <t>Budget en F CFA</t>
  </si>
  <si>
    <r>
      <rPr>
        <sz val="12"/>
        <color rgb="FFFF0000"/>
        <rFont val="Arial Narrow"/>
        <family val="2"/>
      </rPr>
      <t>Désigner les</t>
    </r>
    <r>
      <rPr>
        <sz val="12"/>
        <color theme="1"/>
        <rFont val="Arial Narrow"/>
        <family val="2"/>
      </rPr>
      <t xml:space="preserve"> représentants et les former au benchmarking pour améliorer les systèmes institutionnels de collecte et de gestion des données</t>
    </r>
  </si>
  <si>
    <t>2023 Y2Q1</t>
  </si>
  <si>
    <t>2023 Y2Q2</t>
  </si>
  <si>
    <t>2023 Y2Q3</t>
  </si>
  <si>
    <t>2023 Y2Q4</t>
  </si>
  <si>
    <t>Directeur de la planification et de la prospective</t>
  </si>
  <si>
    <t xml:space="preserve">M. AGOSSOU </t>
  </si>
  <si>
    <t>Achat de credit de communication et internet pour le fonctionnement</t>
  </si>
  <si>
    <t>Le personnel du centre est doté de credit de communication et internet pour le fonctionnement</t>
  </si>
  <si>
    <t>Réaliser huit (8) sorties pédagogiques (assurance accident des étudiants hébergement, location de bus, etc)</t>
  </si>
  <si>
    <t xml:space="preserve">Proposition des thématiques en lien avec les villes durables </t>
  </si>
  <si>
    <r>
      <rPr>
        <b/>
        <sz val="11"/>
        <color theme="1"/>
        <rFont val="Arial Narrow"/>
        <family val="2"/>
      </rPr>
      <t>Activité 1</t>
    </r>
    <r>
      <rPr>
        <sz val="11"/>
        <color theme="1"/>
        <rFont val="Arial Narrow"/>
        <family val="2"/>
      </rPr>
      <t xml:space="preserve"> : Choix de la thématique du Master professionnel du CERViDA-DOUNEDON/EPL   </t>
    </r>
  </si>
  <si>
    <r>
      <rPr>
        <b/>
        <sz val="11"/>
        <color theme="1"/>
        <rFont val="Arial Narrow"/>
        <family val="2"/>
      </rPr>
      <t>Activité 2</t>
    </r>
    <r>
      <rPr>
        <sz val="11"/>
        <color theme="1"/>
        <rFont val="Arial Narrow"/>
        <family val="2"/>
      </rPr>
      <t xml:space="preserve"> : Choix de la maquette du Master professionnel du CERViDA-DOUNEDON/EPL</t>
    </r>
  </si>
  <si>
    <r>
      <rPr>
        <b/>
        <sz val="11"/>
        <color theme="1"/>
        <rFont val="Arial Narrow"/>
        <family val="2"/>
      </rPr>
      <t>Activité 3</t>
    </r>
    <r>
      <rPr>
        <sz val="11"/>
        <color theme="1"/>
        <rFont val="Arial Narrow"/>
        <family val="2"/>
      </rPr>
      <t xml:space="preserve"> : Missions des enseignants des Masters du CERViDA-DOUNEDON</t>
    </r>
  </si>
  <si>
    <t>Missions des enseignants et vacataires (50)</t>
  </si>
  <si>
    <t>Renforcer les capacités des enseignants (25) au plan national</t>
  </si>
  <si>
    <t>Récruter un consultant individuel pour réaliser les enquêtes de satisfaction des étudiants sur les activités du CERViDA-DOUNEDON et d'insersion professionnelle</t>
  </si>
  <si>
    <t xml:space="preserve">Le rapport des enquêtes des étudiants sur les activités du CERViDA-DOUNEDON et d'insersion professionnelle </t>
  </si>
  <si>
    <r>
      <rPr>
        <b/>
        <sz val="11"/>
        <color theme="1"/>
        <rFont val="Arial Narrow"/>
        <family val="2"/>
      </rPr>
      <t>Activité 1 :</t>
    </r>
    <r>
      <rPr>
        <sz val="11"/>
        <color theme="1"/>
        <rFont val="Arial Narrow"/>
        <family val="2"/>
      </rPr>
      <t xml:space="preserve"> Recrutement des doctorants (20)</t>
    </r>
  </si>
  <si>
    <t xml:space="preserve">Mettre en œuvre les projets retenus (10), (Avance de 50% de demarrage) </t>
  </si>
  <si>
    <t>Atelier de validation des résultats des projets sélectionnés avec l'implication du CSI</t>
  </si>
  <si>
    <t>Les rapports de l'atelier de validation sont disponibles</t>
  </si>
  <si>
    <t xml:space="preserve">15 manuscrits sont publiés </t>
  </si>
  <si>
    <t>15 manuscrits sont pré-évalués</t>
  </si>
  <si>
    <t>Atelier de renforcement des aptitudes à la recherche et orientation méthodologique (4 cours de méthodologies pour 22 doctorants)</t>
  </si>
  <si>
    <r>
      <rPr>
        <b/>
        <sz val="11"/>
        <color theme="1"/>
        <rFont val="Arial Narrow"/>
        <family val="2"/>
      </rPr>
      <t>Activité 2 :</t>
    </r>
    <r>
      <rPr>
        <sz val="11"/>
        <color theme="1"/>
        <rFont val="Arial Narrow"/>
        <family val="2"/>
      </rPr>
      <t xml:space="preserve"> Equipement spécifiques des doctorants (20 ordinateurs)</t>
    </r>
  </si>
  <si>
    <t>Acquérir 20 ordinateurs aux doctorants de la promotion 2022-2023 du CERViDA-DOUNEDON</t>
  </si>
  <si>
    <t>Organiser des stages d'impregnation de 4 enseignants au Ghana</t>
  </si>
  <si>
    <t>Participation d'au moins 5 enseignants chercheurs et 10 doctorants dont les résumés sont acceptés aux manifestations scientifiques</t>
  </si>
  <si>
    <t>Dissémination, diffusion et communication des résultats des projets satisfaisants à travers les réseaux sociaux</t>
  </si>
  <si>
    <t>Les résultats satisfaisants des projets de recherches sont disséminés, diffusés et communiqués à travers les réseaux sociaux</t>
  </si>
  <si>
    <t>X</t>
  </si>
  <si>
    <t>Payer les indemnités des stagiaires</t>
  </si>
  <si>
    <t>Les indemnités des stagiaires sont payés</t>
  </si>
  <si>
    <t xml:space="preserve">IDL 7.5: : Étape d'impact institutionnel </t>
  </si>
  <si>
    <r>
      <t xml:space="preserve">Attribuer </t>
    </r>
    <r>
      <rPr>
        <sz val="11"/>
        <color rgb="FFFF0000"/>
        <rFont val="Arial Narrow"/>
        <family val="2"/>
      </rPr>
      <t>34</t>
    </r>
    <r>
      <rPr>
        <sz val="11"/>
        <color theme="1"/>
        <rFont val="Arial Narrow"/>
        <family val="2"/>
      </rPr>
      <t xml:space="preserve">  bourses du CERViDA-DOUNEDON (allocation, logement , Inscription, voyage, assurance maladie)</t>
    </r>
  </si>
  <si>
    <t xml:space="preserve">Les bourses sont octroyées aux 34 étudiants bénéficiaires </t>
  </si>
  <si>
    <r>
      <t xml:space="preserve">Dérouler </t>
    </r>
    <r>
      <rPr>
        <sz val="11"/>
        <rFont val="Arial Narrow"/>
        <family val="2"/>
      </rPr>
      <t>38</t>
    </r>
    <r>
      <rPr>
        <sz val="11"/>
        <color theme="1"/>
        <rFont val="Arial Narrow"/>
        <family val="2"/>
      </rPr>
      <t xml:space="preserve"> stages d'immersion</t>
    </r>
  </si>
  <si>
    <t>38 étudiants ont effectué les stages d'immersion</t>
  </si>
  <si>
    <r>
      <rPr>
        <b/>
        <sz val="11"/>
        <color theme="1"/>
        <rFont val="Arial Narrow"/>
        <family val="2"/>
      </rPr>
      <t>Activité 2 :</t>
    </r>
    <r>
      <rPr>
        <sz val="11"/>
        <color theme="1"/>
        <rFont val="Arial Narrow"/>
        <family val="2"/>
      </rPr>
      <t xml:space="preserve"> Financement des bourses de doctorat </t>
    </r>
  </si>
  <si>
    <t>Octroyer des bourses (Allocation, logement, voyage, Inscription (26),  Assurance maladie (57)) aux doctorants</t>
  </si>
  <si>
    <r>
      <t xml:space="preserve">Soutenir les stages en entreprise pour </t>
    </r>
    <r>
      <rPr>
        <sz val="11"/>
        <rFont val="Arial Narrow"/>
        <family val="2"/>
      </rPr>
      <t>30</t>
    </r>
    <r>
      <rPr>
        <sz val="11"/>
        <color theme="1"/>
        <rFont val="Arial Narrow"/>
        <family val="2"/>
      </rPr>
      <t xml:space="preserve"> étudiants doctorants</t>
    </r>
  </si>
  <si>
    <t>30 stages sont soutenus</t>
  </si>
  <si>
    <t>Appuyer  l'élaboration du scénario d'utilisation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</si>
</sst>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_-;\-* #,##0.00_-;_-* &quot;-&quot;??_-;_-@_-"/>
    <numFmt numFmtId="166" formatCode="_-* #,##0.00\ _€_-;\-* #,##0.00\ _€_-;_-* &quot;-&quot;??\ _€_-;_-@_-"/>
    <numFmt numFmtId="167" formatCode="_-* #,##0\ _C_F_A_-;\-* #,##0\ _C_F_A_-;_-* &quot;-&quot;\ _C_F_A_-;_-@_-"/>
    <numFmt numFmtId="168" formatCode="_-* #,##0\ _€_-;\-* #,##0\ _€_-;_-* &quot;-&quot;??\ _€_-;_-@_-"/>
    <numFmt numFmtId="169" formatCode="_-* #,##0_-;\-* #,##0_-;_-* &quot;-&quot;??_-;_-@_-"/>
    <numFmt numFmtId="170" formatCode="_(* #,##0_);_(* \(#,##0\);_(* &quot;-&quot;??_);_(@_)"/>
    <numFmt numFmtId="171" formatCode="#,##0_ ;\-#,##0\ "/>
  </numFmts>
  <fonts count="37" x14ac:knownFonts="1">
    <font>
      <sz val="11"/>
      <color theme="1"/>
      <name val="Calibri"/>
      <family val="2"/>
      <scheme val="minor"/>
    </font>
    <font>
      <sz val="12"/>
      <color theme="1"/>
      <name val="Calibri"/>
      <family val="2"/>
      <scheme val="minor"/>
    </font>
    <font>
      <sz val="11"/>
      <color theme="1"/>
      <name val="Calibri"/>
      <family val="2"/>
      <scheme val="minor"/>
    </font>
    <font>
      <sz val="11"/>
      <name val="Arial Narrow"/>
      <family val="2"/>
    </font>
    <font>
      <b/>
      <sz val="10"/>
      <color theme="1"/>
      <name val="Arial Narrow"/>
      <family val="2"/>
    </font>
    <font>
      <sz val="10"/>
      <color theme="1"/>
      <name val="Arial Narrow"/>
      <family val="2"/>
    </font>
    <font>
      <b/>
      <sz val="11"/>
      <name val="Arial Narrow"/>
      <family val="2"/>
    </font>
    <font>
      <sz val="10"/>
      <name val="Arial"/>
      <family val="2"/>
    </font>
    <font>
      <sz val="8"/>
      <name val="Arial"/>
      <family val="2"/>
    </font>
    <font>
      <sz val="11"/>
      <color theme="1"/>
      <name val="Arial Narrow"/>
      <family val="2"/>
    </font>
    <font>
      <b/>
      <sz val="11"/>
      <color theme="1"/>
      <name val="Arial Narrow"/>
      <family val="2"/>
    </font>
    <font>
      <b/>
      <i/>
      <sz val="11"/>
      <color theme="1"/>
      <name val="Arial Narrow"/>
      <family val="2"/>
    </font>
    <font>
      <i/>
      <sz val="11"/>
      <color theme="1"/>
      <name val="Arial Narrow"/>
      <family val="2"/>
    </font>
    <font>
      <sz val="11"/>
      <color rgb="FF212121"/>
      <name val="Arial Narrow"/>
      <family val="2"/>
    </font>
    <font>
      <sz val="11"/>
      <color rgb="FF000000"/>
      <name val="Arial Narrow"/>
      <family val="2"/>
    </font>
    <font>
      <i/>
      <sz val="11"/>
      <color theme="1"/>
      <name val="Calibri"/>
      <family val="2"/>
      <scheme val="minor"/>
    </font>
    <font>
      <sz val="10"/>
      <color indexed="8"/>
      <name val="Arial"/>
      <family val="2"/>
    </font>
    <font>
      <sz val="11"/>
      <color rgb="FFFF0000"/>
      <name val="Arial Narrow"/>
      <family val="2"/>
    </font>
    <font>
      <b/>
      <i/>
      <sz val="11"/>
      <color rgb="FFFF0000"/>
      <name val="Arial Narrow"/>
      <family val="2"/>
    </font>
    <font>
      <sz val="8"/>
      <color theme="1"/>
      <name val="Arial Narrow"/>
      <family val="2"/>
    </font>
    <font>
      <b/>
      <sz val="8"/>
      <name val="Arial Narrow"/>
      <family val="2"/>
    </font>
    <font>
      <b/>
      <sz val="8"/>
      <color theme="1"/>
      <name val="Arial Narrow"/>
      <family val="2"/>
    </font>
    <font>
      <b/>
      <i/>
      <sz val="8"/>
      <color theme="1"/>
      <name val="Arial Narrow"/>
      <family val="2"/>
    </font>
    <font>
      <sz val="8"/>
      <name val="Arial Narrow"/>
      <family val="2"/>
    </font>
    <font>
      <sz val="8"/>
      <color rgb="FF0070C0"/>
      <name val="Arial Narrow"/>
      <family val="2"/>
    </font>
    <font>
      <sz val="12"/>
      <color theme="1"/>
      <name val="Calibri"/>
      <family val="2"/>
      <scheme val="minor"/>
    </font>
    <font>
      <sz val="8"/>
      <name val="Calibri"/>
      <family val="2"/>
      <scheme val="minor"/>
    </font>
    <font>
      <sz val="9"/>
      <color theme="1"/>
      <name val="Arial Narrow"/>
      <family val="2"/>
    </font>
    <font>
      <b/>
      <sz val="13"/>
      <color theme="1"/>
      <name val="Arial Narrow"/>
      <family val="2"/>
    </font>
    <font>
      <sz val="13"/>
      <color theme="1"/>
      <name val="Arial Narrow"/>
      <family val="2"/>
    </font>
    <font>
      <b/>
      <sz val="12"/>
      <color theme="1"/>
      <name val="Arial Narrow"/>
      <family val="2"/>
    </font>
    <font>
      <sz val="12"/>
      <color theme="1"/>
      <name val="Arial Narrow"/>
      <family val="2"/>
    </font>
    <font>
      <sz val="12"/>
      <color rgb="FFFF0000"/>
      <name val="Arial Narrow"/>
      <family val="2"/>
    </font>
    <font>
      <sz val="12"/>
      <color theme="1"/>
      <name val="Times New Roman"/>
      <family val="1"/>
    </font>
    <font>
      <sz val="11"/>
      <color rgb="FF000000"/>
      <name val="Calibri"/>
      <family val="2"/>
    </font>
    <font>
      <b/>
      <sz val="9"/>
      <color rgb="FF000000"/>
      <name val="Tahoma"/>
      <family val="2"/>
    </font>
    <font>
      <sz val="9"/>
      <color rgb="FF000000"/>
      <name val="Tahoma"/>
      <family val="2"/>
    </font>
  </fonts>
  <fills count="13">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0070C0"/>
        <bgColor indexed="64"/>
      </patternFill>
    </fill>
    <fill>
      <patternFill patternType="solid">
        <fgColor rgb="FF009FDA"/>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right style="thin">
        <color rgb="FFFF0000"/>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FF0000"/>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rgb="FFFF0000"/>
      </left>
      <right style="thin">
        <color indexed="64"/>
      </right>
      <top style="thin">
        <color indexed="64"/>
      </top>
      <bottom/>
      <diagonal/>
    </border>
    <border>
      <left style="thin">
        <color rgb="FFFF0000"/>
      </left>
      <right style="thin">
        <color indexed="64"/>
      </right>
      <top/>
      <bottom style="thin">
        <color indexed="64"/>
      </bottom>
      <diagonal/>
    </border>
    <border>
      <left style="thin">
        <color indexed="64"/>
      </left>
      <right style="thin">
        <color rgb="FFFF0000"/>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n">
        <color indexed="64"/>
      </top>
      <bottom style="thin">
        <color indexed="64"/>
      </bottom>
      <diagonal/>
    </border>
  </borders>
  <cellStyleXfs count="10">
    <xf numFmtId="0" fontId="0" fillId="0" borderId="0"/>
    <xf numFmtId="167" fontId="2" fillId="0" borderId="0" applyFont="0" applyFill="0" applyBorder="0" applyAlignment="0" applyProtection="0"/>
    <xf numFmtId="166" fontId="2" fillId="0" borderId="0" applyFont="0" applyFill="0" applyBorder="0" applyAlignment="0" applyProtection="0"/>
    <xf numFmtId="0" fontId="7" fillId="0" borderId="0"/>
    <xf numFmtId="0" fontId="8" fillId="0" borderId="0"/>
    <xf numFmtId="166" fontId="2" fillId="0" borderId="0" applyFont="0" applyFill="0" applyBorder="0" applyAlignment="0" applyProtection="0"/>
    <xf numFmtId="0" fontId="16" fillId="0" borderId="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389">
    <xf numFmtId="0" fontId="0" fillId="0" borderId="0" xfId="0"/>
    <xf numFmtId="0" fontId="9" fillId="0" borderId="1" xfId="0" applyFont="1" applyBorder="1" applyAlignment="1">
      <alignment wrapText="1"/>
    </xf>
    <xf numFmtId="0" fontId="9" fillId="0" borderId="0" xfId="0" applyFont="1" applyAlignment="1">
      <alignment wrapText="1"/>
    </xf>
    <xf numFmtId="0" fontId="9" fillId="0" borderId="0" xfId="0" applyFont="1"/>
    <xf numFmtId="0" fontId="9" fillId="0" borderId="1" xfId="0" applyFont="1" applyBorder="1" applyAlignment="1">
      <alignment horizontal="right" wrapText="1"/>
    </xf>
    <xf numFmtId="0" fontId="9" fillId="3" borderId="1" xfId="0" applyFont="1" applyFill="1" applyBorder="1" applyAlignment="1">
      <alignment horizontal="center" wrapText="1"/>
    </xf>
    <xf numFmtId="0" fontId="5" fillId="0" borderId="0" xfId="0" applyFont="1" applyAlignment="1">
      <alignment vertical="center" wrapText="1"/>
    </xf>
    <xf numFmtId="0" fontId="5" fillId="0" borderId="0" xfId="0" applyFont="1" applyAlignment="1">
      <alignment vertical="center"/>
    </xf>
    <xf numFmtId="0" fontId="10" fillId="4" borderId="9" xfId="0" applyFont="1" applyFill="1" applyBorder="1" applyAlignment="1">
      <alignment wrapText="1"/>
    </xf>
    <xf numFmtId="0" fontId="10" fillId="4" borderId="6" xfId="0" applyFont="1" applyFill="1" applyBorder="1" applyAlignment="1">
      <alignment wrapText="1"/>
    </xf>
    <xf numFmtId="0" fontId="10" fillId="4" borderId="1" xfId="0" applyFont="1" applyFill="1" applyBorder="1" applyAlignment="1">
      <alignment wrapText="1"/>
    </xf>
    <xf numFmtId="168" fontId="10" fillId="4" borderId="1" xfId="0" applyNumberFormat="1" applyFont="1" applyFill="1" applyBorder="1" applyAlignment="1">
      <alignment wrapText="1"/>
    </xf>
    <xf numFmtId="0" fontId="11" fillId="5" borderId="11" xfId="0" applyFont="1" applyFill="1" applyBorder="1" applyAlignment="1">
      <alignment vertical="center" wrapText="1"/>
    </xf>
    <xf numFmtId="0" fontId="11" fillId="5" borderId="12" xfId="0" applyFont="1" applyFill="1" applyBorder="1" applyAlignment="1">
      <alignment vertical="center" wrapText="1"/>
    </xf>
    <xf numFmtId="0" fontId="11" fillId="5" borderId="12" xfId="0" applyFont="1" applyFill="1" applyBorder="1" applyAlignment="1">
      <alignment horizontal="left" vertical="center" wrapText="1"/>
    </xf>
    <xf numFmtId="168" fontId="10" fillId="5" borderId="12" xfId="2" applyNumberFormat="1" applyFont="1" applyFill="1" applyBorder="1" applyAlignment="1">
      <alignment horizontal="right" vertical="center" wrapText="1"/>
    </xf>
    <xf numFmtId="0" fontId="9" fillId="0" borderId="0" xfId="0" applyFont="1" applyAlignment="1">
      <alignment vertical="center" wrapText="1"/>
    </xf>
    <xf numFmtId="0" fontId="9" fillId="0" borderId="0" xfId="0" applyFont="1" applyAlignment="1">
      <alignment vertical="center"/>
    </xf>
    <xf numFmtId="0" fontId="9" fillId="0" borderId="8" xfId="0" applyFont="1" applyBorder="1" applyAlignment="1">
      <alignment vertical="center" wrapText="1"/>
    </xf>
    <xf numFmtId="0" fontId="11" fillId="0" borderId="1" xfId="0" applyFont="1" applyBorder="1" applyAlignment="1">
      <alignment horizontal="left" vertical="center" wrapText="1"/>
    </xf>
    <xf numFmtId="0" fontId="12" fillId="0" borderId="1" xfId="0" applyFont="1" applyBorder="1" applyAlignment="1">
      <alignment horizontal="right" vertical="center" wrapText="1"/>
    </xf>
    <xf numFmtId="0" fontId="9" fillId="0" borderId="1" xfId="0" applyFont="1" applyBorder="1" applyAlignment="1">
      <alignment horizontal="right" vertical="center" wrapText="1"/>
    </xf>
    <xf numFmtId="0" fontId="3"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13" fillId="0" borderId="1" xfId="0" applyFont="1" applyBorder="1" applyAlignment="1">
      <alignment vertical="center" wrapText="1"/>
    </xf>
    <xf numFmtId="0" fontId="10" fillId="4" borderId="14" xfId="0" applyFont="1" applyFill="1" applyBorder="1" applyAlignment="1">
      <alignment wrapText="1"/>
    </xf>
    <xf numFmtId="0" fontId="10" fillId="4" borderId="2" xfId="0" applyFont="1" applyFill="1" applyBorder="1" applyAlignment="1">
      <alignment wrapText="1"/>
    </xf>
    <xf numFmtId="168" fontId="10" fillId="4" borderId="1" xfId="2" applyNumberFormat="1" applyFont="1" applyFill="1" applyBorder="1" applyAlignment="1">
      <alignment wrapText="1"/>
    </xf>
    <xf numFmtId="0" fontId="11" fillId="5" borderId="6" xfId="0" applyFont="1" applyFill="1" applyBorder="1" applyAlignment="1">
      <alignment wrapText="1"/>
    </xf>
    <xf numFmtId="0" fontId="11" fillId="5" borderId="1" xfId="0" applyFont="1" applyFill="1" applyBorder="1" applyAlignment="1">
      <alignment wrapText="1"/>
    </xf>
    <xf numFmtId="0" fontId="11" fillId="5" borderId="2" xfId="0" applyFont="1" applyFill="1" applyBorder="1" applyAlignment="1">
      <alignment wrapText="1"/>
    </xf>
    <xf numFmtId="168" fontId="11" fillId="5" borderId="1" xfId="2" applyNumberFormat="1" applyFont="1" applyFill="1" applyBorder="1" applyAlignment="1">
      <alignment wrapText="1"/>
    </xf>
    <xf numFmtId="0" fontId="11" fillId="0" borderId="1" xfId="0" applyFont="1" applyBorder="1" applyAlignment="1">
      <alignment horizontal="left" wrapText="1"/>
    </xf>
    <xf numFmtId="0" fontId="12" fillId="0" borderId="1" xfId="0" applyFont="1" applyBorder="1" applyAlignment="1">
      <alignment horizontal="right" wrapText="1"/>
    </xf>
    <xf numFmtId="0" fontId="11" fillId="5" borderId="18" xfId="0" applyFont="1" applyFill="1" applyBorder="1" applyAlignment="1">
      <alignment wrapText="1"/>
    </xf>
    <xf numFmtId="167" fontId="11" fillId="5" borderId="1" xfId="0" applyNumberFormat="1" applyFont="1" applyFill="1" applyBorder="1" applyAlignment="1">
      <alignment wrapText="1"/>
    </xf>
    <xf numFmtId="0" fontId="11" fillId="5" borderId="6" xfId="0" applyFont="1" applyFill="1" applyBorder="1" applyAlignment="1">
      <alignment vertical="center" wrapText="1"/>
    </xf>
    <xf numFmtId="0" fontId="11" fillId="5" borderId="2" xfId="0"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169" fontId="9" fillId="0" borderId="1" xfId="2" applyNumberFormat="1" applyFont="1" applyBorder="1" applyAlignment="1">
      <alignment vertical="center" wrapText="1"/>
    </xf>
    <xf numFmtId="169" fontId="9" fillId="0" borderId="1" xfId="2" applyNumberFormat="1" applyFont="1" applyBorder="1" applyAlignment="1">
      <alignment wrapText="1"/>
    </xf>
    <xf numFmtId="0" fontId="0" fillId="0" borderId="0" xfId="0" applyAlignment="1">
      <alignment wrapText="1"/>
    </xf>
    <xf numFmtId="169" fontId="11" fillId="5" borderId="6" xfId="0" applyNumberFormat="1" applyFont="1" applyFill="1" applyBorder="1" applyAlignment="1">
      <alignment wrapText="1"/>
    </xf>
    <xf numFmtId="0" fontId="9" fillId="2" borderId="1" xfId="0" applyFont="1" applyFill="1" applyBorder="1" applyAlignment="1">
      <alignment wrapText="1"/>
    </xf>
    <xf numFmtId="0" fontId="11" fillId="5" borderId="6" xfId="0" applyFont="1" applyFill="1" applyBorder="1"/>
    <xf numFmtId="0" fontId="11" fillId="5" borderId="2" xfId="0" applyFont="1" applyFill="1" applyBorder="1"/>
    <xf numFmtId="169" fontId="10" fillId="4" borderId="6" xfId="0" applyNumberFormat="1" applyFont="1" applyFill="1" applyBorder="1" applyAlignment="1">
      <alignment wrapText="1"/>
    </xf>
    <xf numFmtId="169" fontId="9" fillId="0" borderId="1" xfId="2" applyNumberFormat="1" applyFont="1" applyBorder="1" applyAlignment="1">
      <alignment horizontal="left" vertical="center" wrapText="1"/>
    </xf>
    <xf numFmtId="1" fontId="10" fillId="4" borderId="6" xfId="0" applyNumberFormat="1" applyFont="1" applyFill="1" applyBorder="1" applyAlignment="1">
      <alignment wrapText="1"/>
    </xf>
    <xf numFmtId="0" fontId="11" fillId="5" borderId="1" xfId="0" applyFont="1" applyFill="1" applyBorder="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11" fillId="5" borderId="1" xfId="0" applyFont="1" applyFill="1" applyBorder="1" applyAlignment="1">
      <alignment horizontal="left" wrapText="1"/>
    </xf>
    <xf numFmtId="0" fontId="10" fillId="4" borderId="1" xfId="0" applyFont="1" applyFill="1" applyBorder="1" applyAlignment="1">
      <alignment horizontal="left"/>
    </xf>
    <xf numFmtId="0" fontId="10" fillId="4" borderId="1" xfId="0" applyFont="1" applyFill="1" applyBorder="1" applyAlignment="1">
      <alignment horizontal="left" wrapText="1"/>
    </xf>
    <xf numFmtId="0" fontId="10" fillId="4" borderId="2" xfId="0" applyFont="1" applyFill="1" applyBorder="1" applyAlignment="1">
      <alignment horizontal="left" wrapText="1"/>
    </xf>
    <xf numFmtId="169" fontId="10" fillId="4" borderId="1" xfId="0" applyNumberFormat="1" applyFont="1" applyFill="1" applyBorder="1" applyAlignment="1">
      <alignment horizontal="left" wrapText="1"/>
    </xf>
    <xf numFmtId="0" fontId="11" fillId="5" borderId="7" xfId="0" applyFont="1" applyFill="1" applyBorder="1" applyAlignment="1">
      <alignment horizontal="left" vertical="center" wrapText="1"/>
    </xf>
    <xf numFmtId="0" fontId="11" fillId="5" borderId="4" xfId="0" applyFont="1" applyFill="1" applyBorder="1" applyAlignment="1">
      <alignment horizontal="left" vertical="center" wrapText="1"/>
    </xf>
    <xf numFmtId="169" fontId="11" fillId="5" borderId="4" xfId="0" applyNumberFormat="1" applyFont="1" applyFill="1" applyBorder="1" applyAlignment="1">
      <alignment horizontal="left" vertical="center" wrapText="1"/>
    </xf>
    <xf numFmtId="0" fontId="9" fillId="0" borderId="0" xfId="0" applyFont="1" applyAlignment="1">
      <alignment horizontal="left" wrapText="1"/>
    </xf>
    <xf numFmtId="0" fontId="9" fillId="0" borderId="0" xfId="0" applyFont="1" applyAlignment="1">
      <alignment horizontal="right" wrapText="1"/>
    </xf>
    <xf numFmtId="0" fontId="9" fillId="0" borderId="6" xfId="0" applyFont="1" applyBorder="1" applyAlignment="1">
      <alignment wrapText="1"/>
    </xf>
    <xf numFmtId="0" fontId="9" fillId="0" borderId="3" xfId="0" applyFont="1" applyBorder="1" applyAlignment="1">
      <alignment vertical="center" wrapText="1"/>
    </xf>
    <xf numFmtId="0" fontId="9" fillId="0" borderId="6" xfId="0" applyFont="1" applyBorder="1" applyAlignment="1">
      <alignment vertical="center" wrapText="1"/>
    </xf>
    <xf numFmtId="0" fontId="11" fillId="2" borderId="1" xfId="0" applyFont="1" applyFill="1" applyBorder="1" applyAlignment="1">
      <alignment horizontal="left" vertical="center" wrapText="1"/>
    </xf>
    <xf numFmtId="0" fontId="0" fillId="2" borderId="0" xfId="0" applyFill="1" applyAlignment="1">
      <alignment vertical="center" wrapText="1"/>
    </xf>
    <xf numFmtId="0" fontId="0" fillId="2" borderId="0" xfId="0" applyFill="1" applyAlignment="1">
      <alignment vertical="center"/>
    </xf>
    <xf numFmtId="169" fontId="9" fillId="0" borderId="3" xfId="2" applyNumberFormat="1" applyFont="1" applyBorder="1" applyAlignment="1">
      <alignment wrapText="1"/>
    </xf>
    <xf numFmtId="169" fontId="9" fillId="0" borderId="3" xfId="2" applyNumberFormat="1" applyFont="1" applyBorder="1" applyAlignment="1">
      <alignment vertical="center" wrapText="1"/>
    </xf>
    <xf numFmtId="0" fontId="9" fillId="0" borderId="4" xfId="0" applyFont="1" applyBorder="1" applyAlignment="1">
      <alignment vertical="center" wrapText="1"/>
    </xf>
    <xf numFmtId="0" fontId="14" fillId="0" borderId="1" xfId="0" applyFont="1" applyBorder="1" applyAlignment="1">
      <alignment horizontal="left" vertical="center" wrapText="1"/>
    </xf>
    <xf numFmtId="0" fontId="10" fillId="4" borderId="3" xfId="0" applyFont="1" applyFill="1" applyBorder="1" applyAlignment="1">
      <alignment horizontal="left"/>
    </xf>
    <xf numFmtId="0" fontId="10" fillId="4" borderId="16" xfId="0" applyFont="1" applyFill="1" applyBorder="1" applyAlignment="1">
      <alignment horizontal="left"/>
    </xf>
    <xf numFmtId="0" fontId="11" fillId="5" borderId="3" xfId="0" applyFont="1" applyFill="1" applyBorder="1" applyAlignment="1">
      <alignment horizontal="left"/>
    </xf>
    <xf numFmtId="0" fontId="9" fillId="0" borderId="1" xfId="0" applyFont="1" applyBorder="1" applyAlignment="1">
      <alignment horizontal="left" wrapText="1"/>
    </xf>
    <xf numFmtId="168" fontId="3" fillId="0" borderId="1" xfId="2" applyNumberFormat="1" applyFont="1" applyFill="1" applyBorder="1" applyAlignment="1">
      <alignment horizontal="center" vertical="center" wrapText="1"/>
    </xf>
    <xf numFmtId="168" fontId="9" fillId="0" borderId="1" xfId="2" applyNumberFormat="1" applyFont="1" applyFill="1" applyBorder="1" applyAlignment="1">
      <alignment horizontal="center" vertical="center" wrapText="1"/>
    </xf>
    <xf numFmtId="168" fontId="11" fillId="5" borderId="6" xfId="2" applyNumberFormat="1" applyFont="1" applyFill="1" applyBorder="1" applyAlignment="1">
      <alignment vertical="center" wrapText="1"/>
    </xf>
    <xf numFmtId="168" fontId="9" fillId="0" borderId="1" xfId="2" applyNumberFormat="1" applyFont="1" applyBorder="1" applyAlignment="1">
      <alignment vertical="center" wrapText="1"/>
    </xf>
    <xf numFmtId="168" fontId="11" fillId="5" borderId="6" xfId="2" applyNumberFormat="1" applyFont="1" applyFill="1" applyBorder="1" applyAlignment="1">
      <alignment wrapText="1"/>
    </xf>
    <xf numFmtId="168" fontId="11" fillId="5" borderId="6" xfId="2" applyNumberFormat="1" applyFont="1" applyFill="1" applyBorder="1" applyAlignment="1"/>
    <xf numFmtId="168" fontId="10" fillId="4" borderId="6" xfId="2" applyNumberFormat="1" applyFont="1" applyFill="1" applyBorder="1" applyAlignment="1">
      <alignment wrapText="1"/>
    </xf>
    <xf numFmtId="168" fontId="9" fillId="0" borderId="1" xfId="2" applyNumberFormat="1" applyFont="1" applyBorder="1" applyAlignment="1">
      <alignment horizontal="left" vertical="center" wrapText="1"/>
    </xf>
    <xf numFmtId="168" fontId="10" fillId="4" borderId="1" xfId="2" applyNumberFormat="1" applyFont="1" applyFill="1" applyBorder="1" applyAlignment="1">
      <alignment horizontal="left" wrapText="1"/>
    </xf>
    <xf numFmtId="168" fontId="11" fillId="5" borderId="4" xfId="2" applyNumberFormat="1" applyFont="1" applyFill="1" applyBorder="1" applyAlignment="1">
      <alignment horizontal="left" vertical="center" wrapText="1"/>
    </xf>
    <xf numFmtId="0" fontId="11" fillId="0" borderId="1" xfId="0" applyFont="1" applyBorder="1" applyAlignment="1">
      <alignment vertical="center" wrapText="1"/>
    </xf>
    <xf numFmtId="0" fontId="9" fillId="0" borderId="5" xfId="0" applyFont="1" applyBorder="1" applyAlignment="1">
      <alignment wrapText="1"/>
    </xf>
    <xf numFmtId="169" fontId="9" fillId="0" borderId="5" xfId="2" applyNumberFormat="1" applyFont="1" applyBorder="1" applyAlignment="1">
      <alignment wrapText="1"/>
    </xf>
    <xf numFmtId="169" fontId="11" fillId="0" borderId="1" xfId="0" applyNumberFormat="1" applyFont="1" applyBorder="1" applyAlignment="1">
      <alignment vertical="center" wrapText="1"/>
    </xf>
    <xf numFmtId="0" fontId="9" fillId="0" borderId="5" xfId="0" applyFont="1" applyBorder="1" applyAlignment="1">
      <alignment vertical="center" wrapText="1"/>
    </xf>
    <xf numFmtId="168" fontId="17" fillId="0" borderId="1" xfId="2" applyNumberFormat="1" applyFont="1" applyFill="1" applyBorder="1" applyAlignment="1">
      <alignment horizontal="center" vertical="center" wrapText="1"/>
    </xf>
    <xf numFmtId="0" fontId="18" fillId="0" borderId="1" xfId="0" applyFont="1" applyBorder="1" applyAlignment="1">
      <alignment horizontal="left"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13" fillId="0" borderId="2" xfId="0" applyFont="1" applyBorder="1" applyAlignment="1">
      <alignment horizontal="left" vertical="center" wrapText="1"/>
    </xf>
    <xf numFmtId="0" fontId="9" fillId="2" borderId="1" xfId="0" applyFont="1" applyFill="1" applyBorder="1" applyAlignment="1">
      <alignment horizontal="left" vertical="center" wrapText="1"/>
    </xf>
    <xf numFmtId="0" fontId="20" fillId="0" borderId="4" xfId="0" applyFont="1" applyBorder="1" applyAlignment="1">
      <alignment horizontal="center" vertical="center" wrapText="1"/>
    </xf>
    <xf numFmtId="0" fontId="21" fillId="4" borderId="1" xfId="0" applyFont="1" applyFill="1" applyBorder="1" applyAlignment="1">
      <alignment wrapText="1"/>
    </xf>
    <xf numFmtId="0" fontId="22" fillId="5" borderId="12" xfId="0" applyFont="1" applyFill="1" applyBorder="1" applyAlignment="1">
      <alignment vertical="center" wrapText="1"/>
    </xf>
    <xf numFmtId="0" fontId="23" fillId="0" borderId="1" xfId="0" applyFont="1" applyBorder="1" applyAlignment="1">
      <alignment vertical="center" wrapText="1"/>
    </xf>
    <xf numFmtId="0" fontId="24" fillId="0" borderId="1" xfId="0" applyFont="1" applyBorder="1" applyAlignment="1">
      <alignment vertical="center" wrapText="1"/>
    </xf>
    <xf numFmtId="0" fontId="22" fillId="5" borderId="1" xfId="0" applyFont="1" applyFill="1" applyBorder="1" applyAlignment="1">
      <alignment wrapText="1"/>
    </xf>
    <xf numFmtId="0" fontId="10" fillId="4" borderId="7" xfId="0" applyFont="1" applyFill="1" applyBorder="1" applyAlignment="1">
      <alignment horizontal="left" wrapText="1"/>
    </xf>
    <xf numFmtId="0" fontId="11" fillId="5" borderId="6" xfId="0" applyFont="1" applyFill="1" applyBorder="1" applyAlignment="1">
      <alignment horizontal="left"/>
    </xf>
    <xf numFmtId="0" fontId="10" fillId="4" borderId="6" xfId="0" applyFont="1" applyFill="1" applyBorder="1" applyAlignment="1">
      <alignment horizontal="left" wrapText="1"/>
    </xf>
    <xf numFmtId="168" fontId="9" fillId="0" borderId="1" xfId="2" applyNumberFormat="1" applyFont="1" applyFill="1" applyBorder="1" applyAlignment="1">
      <alignment vertical="center" wrapText="1"/>
    </xf>
    <xf numFmtId="0" fontId="19" fillId="0" borderId="1" xfId="0" applyFont="1" applyBorder="1" applyAlignment="1">
      <alignment vertical="center" wrapText="1"/>
    </xf>
    <xf numFmtId="0" fontId="23" fillId="7" borderId="1" xfId="0" applyFont="1" applyFill="1" applyBorder="1" applyAlignment="1">
      <alignment vertical="center" wrapText="1"/>
    </xf>
    <xf numFmtId="0" fontId="11" fillId="7" borderId="1" xfId="0" applyFont="1" applyFill="1" applyBorder="1" applyAlignment="1">
      <alignment horizontal="left" wrapText="1"/>
    </xf>
    <xf numFmtId="0" fontId="9" fillId="7" borderId="1" xfId="0" applyFont="1" applyFill="1" applyBorder="1" applyAlignment="1">
      <alignment horizontal="center" wrapText="1"/>
    </xf>
    <xf numFmtId="168" fontId="9" fillId="0" borderId="1" xfId="2" applyNumberFormat="1" applyFont="1" applyFill="1" applyBorder="1" applyAlignment="1">
      <alignment horizontal="left" vertical="center" wrapText="1"/>
    </xf>
    <xf numFmtId="169" fontId="9" fillId="0" borderId="1" xfId="2" applyNumberFormat="1" applyFont="1" applyFill="1" applyBorder="1" applyAlignment="1">
      <alignment vertical="center" wrapText="1"/>
    </xf>
    <xf numFmtId="168" fontId="12" fillId="0" borderId="1" xfId="2" applyNumberFormat="1" applyFont="1" applyFill="1" applyBorder="1" applyAlignment="1">
      <alignment horizontal="right" vertical="center" wrapText="1"/>
    </xf>
    <xf numFmtId="168" fontId="9" fillId="0" borderId="0" xfId="2" applyNumberFormat="1" applyFont="1" applyAlignment="1">
      <alignment horizontal="right" wrapText="1"/>
    </xf>
    <xf numFmtId="0" fontId="3" fillId="0" borderId="0" xfId="0" applyFont="1"/>
    <xf numFmtId="0" fontId="3" fillId="0" borderId="0" xfId="0" applyFont="1" applyAlignment="1">
      <alignment wrapText="1"/>
    </xf>
    <xf numFmtId="0" fontId="3" fillId="0" borderId="23" xfId="0" applyFont="1" applyBorder="1" applyAlignment="1">
      <alignment horizontal="center" vertical="center"/>
    </xf>
    <xf numFmtId="0" fontId="6" fillId="0" borderId="24"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3" fillId="0" borderId="26" xfId="0" applyFont="1" applyBorder="1" applyAlignment="1">
      <alignment horizontal="center" vertical="center"/>
    </xf>
    <xf numFmtId="170" fontId="3" fillId="0" borderId="1" xfId="8" applyNumberFormat="1" applyFont="1" applyBorder="1" applyAlignment="1">
      <alignment vertical="center"/>
    </xf>
    <xf numFmtId="170" fontId="3" fillId="0" borderId="1" xfId="8" applyNumberFormat="1" applyFont="1" applyBorder="1" applyAlignment="1">
      <alignment horizontal="right" vertical="center"/>
    </xf>
    <xf numFmtId="170" fontId="0" fillId="0" borderId="0" xfId="0" applyNumberFormat="1"/>
    <xf numFmtId="9" fontId="0" fillId="0" borderId="0" xfId="7" applyFont="1"/>
    <xf numFmtId="164" fontId="0" fillId="0" borderId="0" xfId="9" applyFont="1"/>
    <xf numFmtId="0" fontId="3" fillId="0" borderId="28" xfId="0" applyFont="1" applyBorder="1" applyAlignment="1">
      <alignment horizontal="center" vertical="center"/>
    </xf>
    <xf numFmtId="0" fontId="6" fillId="0" borderId="29" xfId="0" applyFont="1" applyBorder="1" applyAlignment="1">
      <alignment horizontal="left" vertical="center" wrapText="1"/>
    </xf>
    <xf numFmtId="170" fontId="6" fillId="0" borderId="29" xfId="0" applyNumberFormat="1" applyFont="1" applyBorder="1" applyAlignment="1">
      <alignment vertical="center"/>
    </xf>
    <xf numFmtId="170" fontId="6" fillId="0" borderId="29" xfId="0" applyNumberFormat="1" applyFont="1" applyBorder="1" applyAlignment="1">
      <alignment horizontal="right" vertical="center"/>
    </xf>
    <xf numFmtId="0" fontId="9" fillId="0" borderId="5" xfId="0" applyFont="1" applyBorder="1" applyAlignment="1">
      <alignment horizontal="center" vertical="center" wrapText="1"/>
    </xf>
    <xf numFmtId="0" fontId="9" fillId="0" borderId="15" xfId="0" applyFont="1" applyBorder="1" applyAlignment="1">
      <alignment horizontal="left" vertical="center" wrapText="1"/>
    </xf>
    <xf numFmtId="0" fontId="11" fillId="5" borderId="6" xfId="0" applyFont="1" applyFill="1" applyBorder="1" applyAlignment="1">
      <alignment horizontal="left" wrapText="1"/>
    </xf>
    <xf numFmtId="0" fontId="11" fillId="5" borderId="6" xfId="0" applyFont="1" applyFill="1" applyBorder="1" applyAlignment="1">
      <alignment horizontal="left" vertical="center" wrapText="1"/>
    </xf>
    <xf numFmtId="0" fontId="11" fillId="5" borderId="2" xfId="0" applyFont="1" applyFill="1" applyBorder="1" applyAlignment="1">
      <alignment horizontal="left" wrapText="1"/>
    </xf>
    <xf numFmtId="0" fontId="14" fillId="0" borderId="4" xfId="0" applyFont="1" applyBorder="1" applyAlignment="1">
      <alignment horizontal="left" vertical="center" wrapText="1"/>
    </xf>
    <xf numFmtId="0" fontId="13" fillId="0" borderId="7" xfId="0" applyFont="1" applyBorder="1" applyAlignment="1">
      <alignment horizontal="left" vertical="center" wrapText="1"/>
    </xf>
    <xf numFmtId="168" fontId="10" fillId="5" borderId="1" xfId="2" applyNumberFormat="1" applyFont="1" applyFill="1" applyBorder="1" applyAlignment="1">
      <alignment horizontal="right" vertical="center" wrapText="1"/>
    </xf>
    <xf numFmtId="0" fontId="23" fillId="2" borderId="1" xfId="0" applyFont="1" applyFill="1" applyBorder="1" applyAlignment="1">
      <alignment vertical="center" wrapText="1"/>
    </xf>
    <xf numFmtId="168" fontId="9" fillId="2" borderId="1" xfId="2" applyNumberFormat="1" applyFont="1" applyFill="1" applyBorder="1" applyAlignment="1">
      <alignment horizontal="center" vertical="center" wrapText="1"/>
    </xf>
    <xf numFmtId="0" fontId="9" fillId="0" borderId="6" xfId="0" applyFont="1" applyBorder="1" applyAlignment="1">
      <alignment horizontal="left" vertical="center" wrapText="1"/>
    </xf>
    <xf numFmtId="168" fontId="12" fillId="0" borderId="6" xfId="2" applyNumberFormat="1" applyFont="1" applyFill="1" applyBorder="1" applyAlignment="1">
      <alignment horizontal="right" vertical="center" wrapText="1"/>
    </xf>
    <xf numFmtId="169" fontId="9" fillId="0" borderId="6" xfId="2" applyNumberFormat="1" applyFont="1" applyBorder="1" applyAlignment="1">
      <alignment wrapText="1"/>
    </xf>
    <xf numFmtId="169" fontId="9" fillId="0" borderId="6" xfId="2" applyNumberFormat="1" applyFont="1" applyBorder="1" applyAlignment="1">
      <alignment horizontal="left" vertical="center" wrapText="1"/>
    </xf>
    <xf numFmtId="0" fontId="9" fillId="0" borderId="2" xfId="0" applyFont="1" applyBorder="1" applyAlignment="1">
      <alignment vertical="center" wrapText="1"/>
    </xf>
    <xf numFmtId="169" fontId="9" fillId="0" borderId="1" xfId="2" applyNumberFormat="1" applyFont="1" applyFill="1" applyBorder="1" applyAlignment="1">
      <alignment wrapText="1"/>
    </xf>
    <xf numFmtId="0" fontId="9" fillId="0" borderId="4" xfId="0" applyFont="1" applyBorder="1" applyAlignment="1">
      <alignment horizontal="left" vertical="center" wrapText="1"/>
    </xf>
    <xf numFmtId="0" fontId="11" fillId="5" borderId="17" xfId="0" applyFont="1" applyFill="1" applyBorder="1" applyAlignment="1">
      <alignment horizontal="left" vertical="center"/>
    </xf>
    <xf numFmtId="168" fontId="3" fillId="2" borderId="1" xfId="2" applyNumberFormat="1" applyFont="1" applyFill="1" applyBorder="1" applyAlignment="1">
      <alignment horizontal="center" vertical="center" wrapText="1"/>
    </xf>
    <xf numFmtId="168" fontId="10" fillId="4" borderId="1" xfId="2" applyNumberFormat="1" applyFont="1" applyFill="1" applyBorder="1" applyAlignment="1">
      <alignment horizontal="center" wrapText="1"/>
    </xf>
    <xf numFmtId="168" fontId="10" fillId="5" borderId="12" xfId="2" applyNumberFormat="1" applyFont="1" applyFill="1" applyBorder="1" applyAlignment="1">
      <alignment horizontal="center" vertical="center" wrapText="1"/>
    </xf>
    <xf numFmtId="168" fontId="12" fillId="2" borderId="1" xfId="2" applyNumberFormat="1" applyFont="1" applyFill="1" applyBorder="1" applyAlignment="1">
      <alignment horizontal="center" vertical="center" wrapText="1"/>
    </xf>
    <xf numFmtId="168" fontId="11" fillId="5" borderId="1" xfId="2" applyNumberFormat="1" applyFont="1" applyFill="1" applyBorder="1" applyAlignment="1">
      <alignment horizontal="center" wrapText="1"/>
    </xf>
    <xf numFmtId="168" fontId="9" fillId="0" borderId="1" xfId="2" applyNumberFormat="1" applyFont="1" applyBorder="1" applyAlignment="1">
      <alignment horizontal="center" vertical="center" wrapText="1"/>
    </xf>
    <xf numFmtId="168" fontId="11" fillId="5" borderId="6" xfId="2" applyNumberFormat="1" applyFont="1" applyFill="1" applyBorder="1" applyAlignment="1">
      <alignment horizontal="center" vertical="center" wrapText="1"/>
    </xf>
    <xf numFmtId="168" fontId="9" fillId="0" borderId="6" xfId="2" applyNumberFormat="1" applyFont="1" applyBorder="1" applyAlignment="1">
      <alignment horizontal="center" vertical="center" wrapText="1"/>
    </xf>
    <xf numFmtId="168" fontId="11" fillId="5" borderId="6" xfId="2" applyNumberFormat="1" applyFont="1" applyFill="1" applyBorder="1" applyAlignment="1">
      <alignment horizontal="center" wrapText="1"/>
    </xf>
    <xf numFmtId="168" fontId="11" fillId="5" borderId="6" xfId="2" applyNumberFormat="1" applyFont="1" applyFill="1" applyBorder="1" applyAlignment="1">
      <alignment horizontal="center"/>
    </xf>
    <xf numFmtId="168" fontId="17" fillId="0" borderId="1" xfId="2" applyNumberFormat="1" applyFont="1" applyBorder="1" applyAlignment="1">
      <alignment horizontal="center" vertical="center" wrapText="1"/>
    </xf>
    <xf numFmtId="167" fontId="13" fillId="0" borderId="1" xfId="1" applyFont="1" applyBorder="1" applyAlignment="1">
      <alignment horizontal="center" vertical="center" wrapText="1"/>
    </xf>
    <xf numFmtId="168" fontId="10" fillId="4" borderId="6" xfId="2" applyNumberFormat="1" applyFont="1" applyFill="1" applyBorder="1" applyAlignment="1">
      <alignment horizontal="center" wrapText="1"/>
    </xf>
    <xf numFmtId="168" fontId="9" fillId="0" borderId="5" xfId="2" applyNumberFormat="1" applyFont="1" applyBorder="1" applyAlignment="1">
      <alignment horizontal="center" vertical="center" wrapText="1"/>
    </xf>
    <xf numFmtId="168" fontId="10" fillId="5" borderId="1" xfId="2" applyNumberFormat="1" applyFont="1" applyFill="1" applyBorder="1" applyAlignment="1">
      <alignment horizontal="center" vertical="center" wrapText="1"/>
    </xf>
    <xf numFmtId="0" fontId="14" fillId="0" borderId="1" xfId="0" applyFont="1" applyBorder="1" applyAlignment="1">
      <alignment horizontal="center" vertical="center" wrapText="1"/>
    </xf>
    <xf numFmtId="168" fontId="11" fillId="5" borderId="4" xfId="2" applyNumberFormat="1" applyFont="1" applyFill="1" applyBorder="1" applyAlignment="1">
      <alignment horizontal="center" vertical="center" wrapText="1"/>
    </xf>
    <xf numFmtId="168" fontId="9" fillId="0" borderId="0" xfId="2" applyNumberFormat="1" applyFont="1" applyAlignment="1">
      <alignment horizontal="center" wrapText="1"/>
    </xf>
    <xf numFmtId="0" fontId="9" fillId="0" borderId="2" xfId="0" applyFont="1" applyBorder="1" applyAlignment="1">
      <alignment horizontal="left" vertical="top" wrapText="1"/>
    </xf>
    <xf numFmtId="0" fontId="9" fillId="0" borderId="31" xfId="0" applyFont="1" applyBorder="1" applyAlignment="1">
      <alignment vertical="center" wrapText="1"/>
    </xf>
    <xf numFmtId="0" fontId="9" fillId="2" borderId="1" xfId="0" applyFont="1" applyFill="1" applyBorder="1" applyAlignment="1">
      <alignment vertical="center" wrapText="1"/>
    </xf>
    <xf numFmtId="168" fontId="11" fillId="5" borderId="1" xfId="2" applyNumberFormat="1" applyFont="1" applyFill="1" applyBorder="1" applyAlignment="1">
      <alignment horizontal="center" vertical="center" wrapText="1"/>
    </xf>
    <xf numFmtId="168" fontId="12" fillId="0" borderId="1" xfId="2" applyNumberFormat="1" applyFont="1" applyBorder="1" applyAlignment="1">
      <alignment horizontal="right" vertical="center" wrapText="1"/>
    </xf>
    <xf numFmtId="0" fontId="17" fillId="0" borderId="1" xfId="0" applyFont="1" applyBorder="1" applyAlignment="1">
      <alignment vertical="center" wrapText="1"/>
    </xf>
    <xf numFmtId="0" fontId="11" fillId="5" borderId="3" xfId="0" applyFont="1" applyFill="1" applyBorder="1" applyAlignment="1">
      <alignment horizontal="left" vertical="center"/>
    </xf>
    <xf numFmtId="171" fontId="14" fillId="0" borderId="1" xfId="1"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17" xfId="0" applyFont="1" applyBorder="1" applyAlignment="1">
      <alignment horizontal="left" vertical="center" wrapText="1"/>
    </xf>
    <xf numFmtId="0" fontId="10" fillId="0" borderId="0" xfId="0" applyFont="1" applyAlignment="1">
      <alignment wrapText="1"/>
    </xf>
    <xf numFmtId="0" fontId="10" fillId="0" borderId="0" xfId="0" applyFont="1"/>
    <xf numFmtId="168" fontId="9" fillId="0" borderId="1" xfId="0" applyNumberFormat="1" applyFont="1" applyBorder="1" applyAlignment="1">
      <alignment horizontal="right" vertical="center" wrapText="1"/>
    </xf>
    <xf numFmtId="167" fontId="9" fillId="0" borderId="19" xfId="1" applyFont="1" applyBorder="1" applyAlignment="1">
      <alignment vertical="center" wrapText="1"/>
    </xf>
    <xf numFmtId="2" fontId="9" fillId="0" borderId="0" xfId="0" applyNumberFormat="1" applyFont="1" applyAlignment="1">
      <alignment wrapText="1"/>
    </xf>
    <xf numFmtId="1" fontId="29" fillId="0" borderId="0" xfId="0" applyNumberFormat="1" applyFont="1"/>
    <xf numFmtId="10" fontId="3" fillId="0" borderId="27" xfId="7" applyNumberFormat="1" applyFont="1" applyBorder="1" applyAlignment="1">
      <alignment horizontal="center" vertical="center"/>
    </xf>
    <xf numFmtId="10" fontId="6" fillId="0" borderId="30" xfId="7" applyNumberFormat="1" applyFont="1" applyBorder="1" applyAlignment="1">
      <alignment horizontal="center" vertical="center"/>
    </xf>
    <xf numFmtId="167" fontId="0" fillId="0" borderId="0" xfId="1" applyFont="1" applyFill="1" applyAlignment="1">
      <alignment wrapText="1"/>
    </xf>
    <xf numFmtId="0" fontId="0" fillId="2" borderId="0" xfId="0" applyFill="1" applyAlignment="1">
      <alignment wrapText="1"/>
    </xf>
    <xf numFmtId="0" fontId="0" fillId="2" borderId="0" xfId="0" applyFill="1"/>
    <xf numFmtId="0" fontId="10" fillId="8" borderId="0" xfId="0" applyFont="1" applyFill="1" applyAlignment="1">
      <alignment horizontal="left" wrapText="1"/>
    </xf>
    <xf numFmtId="0" fontId="10" fillId="8" borderId="0" xfId="0" applyFont="1" applyFill="1" applyAlignment="1">
      <alignment wrapText="1"/>
    </xf>
    <xf numFmtId="168" fontId="3" fillId="0" borderId="1" xfId="2" applyNumberFormat="1" applyFont="1" applyBorder="1" applyAlignment="1">
      <alignment horizontal="center" vertical="center" wrapText="1"/>
    </xf>
    <xf numFmtId="0" fontId="3" fillId="0" borderId="32" xfId="0" applyFont="1" applyBorder="1" applyAlignment="1">
      <alignment horizontal="center" vertical="center"/>
    </xf>
    <xf numFmtId="170" fontId="3" fillId="0" borderId="4" xfId="8" applyNumberFormat="1" applyFont="1" applyBorder="1" applyAlignment="1">
      <alignment vertical="center"/>
    </xf>
    <xf numFmtId="170" fontId="3" fillId="0" borderId="4" xfId="8" applyNumberFormat="1" applyFont="1" applyBorder="1" applyAlignment="1">
      <alignment horizontal="right" vertical="center"/>
    </xf>
    <xf numFmtId="0" fontId="10" fillId="2" borderId="1" xfId="0" applyFont="1" applyFill="1" applyBorder="1" applyAlignment="1">
      <alignment horizontal="left"/>
    </xf>
    <xf numFmtId="0" fontId="10" fillId="2" borderId="1" xfId="0" applyFont="1" applyFill="1" applyBorder="1" applyAlignment="1">
      <alignment horizontal="left" wrapText="1"/>
    </xf>
    <xf numFmtId="0" fontId="9" fillId="2" borderId="1" xfId="0" applyFont="1" applyFill="1" applyBorder="1" applyAlignment="1">
      <alignment horizontal="left" wrapText="1"/>
    </xf>
    <xf numFmtId="0" fontId="30" fillId="0" borderId="1" xfId="0" applyFont="1" applyBorder="1"/>
    <xf numFmtId="0" fontId="30" fillId="0" borderId="1" xfId="0" applyFont="1" applyBorder="1" applyAlignment="1">
      <alignment vertical="center"/>
    </xf>
    <xf numFmtId="0" fontId="31" fillId="0" borderId="1" xfId="0" applyFont="1" applyBorder="1" applyAlignment="1">
      <alignment vertical="center" wrapText="1"/>
    </xf>
    <xf numFmtId="0" fontId="10" fillId="0" borderId="1" xfId="0" applyFont="1" applyBorder="1" applyAlignment="1">
      <alignment wrapText="1"/>
    </xf>
    <xf numFmtId="0" fontId="30" fillId="0" borderId="1" xfId="0" applyFont="1" applyBorder="1" applyAlignment="1">
      <alignment vertical="center" wrapText="1"/>
    </xf>
    <xf numFmtId="0" fontId="31" fillId="0" borderId="1" xfId="0" applyFont="1" applyBorder="1" applyAlignment="1">
      <alignment wrapText="1"/>
    </xf>
    <xf numFmtId="168" fontId="10" fillId="2" borderId="1" xfId="2" applyNumberFormat="1" applyFont="1" applyFill="1" applyBorder="1" applyAlignment="1">
      <alignment horizontal="left" wrapText="1"/>
    </xf>
    <xf numFmtId="169" fontId="10" fillId="2" borderId="1" xfId="0" applyNumberFormat="1" applyFont="1" applyFill="1" applyBorder="1" applyAlignment="1">
      <alignment horizontal="left" wrapText="1"/>
    </xf>
    <xf numFmtId="0" fontId="9" fillId="2" borderId="1" xfId="0" applyFont="1" applyFill="1" applyBorder="1"/>
    <xf numFmtId="168" fontId="10" fillId="2" borderId="1" xfId="2" applyNumberFormat="1" applyFont="1" applyFill="1" applyBorder="1" applyAlignment="1">
      <alignment horizontal="center" wrapText="1"/>
    </xf>
    <xf numFmtId="168" fontId="10" fillId="0" borderId="1" xfId="2" applyNumberFormat="1" applyFont="1" applyBorder="1" applyAlignment="1">
      <alignment horizontal="center" wrapText="1"/>
    </xf>
    <xf numFmtId="168" fontId="10" fillId="0" borderId="1" xfId="2" applyNumberFormat="1" applyFont="1" applyBorder="1" applyAlignment="1">
      <alignment horizontal="right" wrapText="1"/>
    </xf>
    <xf numFmtId="0" fontId="10" fillId="0" borderId="1" xfId="0" applyFont="1" applyBorder="1" applyAlignment="1">
      <alignment horizontal="right" wrapText="1"/>
    </xf>
    <xf numFmtId="0" fontId="10" fillId="0" borderId="1" xfId="0" applyFont="1" applyBorder="1" applyAlignment="1">
      <alignment horizontal="left" wrapText="1"/>
    </xf>
    <xf numFmtId="0" fontId="28" fillId="0" borderId="1" xfId="0" applyFont="1" applyBorder="1"/>
    <xf numFmtId="168" fontId="9" fillId="0" borderId="1" xfId="2" applyNumberFormat="1" applyFont="1" applyBorder="1" applyAlignment="1">
      <alignment horizontal="right" wrapText="1"/>
    </xf>
    <xf numFmtId="167" fontId="27" fillId="0" borderId="1" xfId="1" applyFont="1" applyBorder="1" applyAlignment="1">
      <alignment horizontal="right" wrapText="1"/>
    </xf>
    <xf numFmtId="168" fontId="9" fillId="0" borderId="1" xfId="2" applyNumberFormat="1" applyFont="1" applyBorder="1" applyAlignment="1">
      <alignment horizontal="center" wrapText="1"/>
    </xf>
    <xf numFmtId="167" fontId="19" fillId="0" borderId="1" xfId="0" applyNumberFormat="1" applyFont="1" applyBorder="1" applyAlignment="1">
      <alignment horizontal="right" wrapText="1"/>
    </xf>
    <xf numFmtId="0" fontId="10" fillId="8" borderId="33" xfId="0" applyFont="1" applyFill="1" applyBorder="1" applyAlignment="1">
      <alignment horizontal="left" wrapText="1"/>
    </xf>
    <xf numFmtId="0" fontId="10" fillId="8" borderId="1" xfId="0" applyFont="1" applyFill="1" applyBorder="1" applyAlignment="1">
      <alignment wrapText="1"/>
    </xf>
    <xf numFmtId="168" fontId="10" fillId="8" borderId="1" xfId="2" applyNumberFormat="1" applyFont="1" applyFill="1" applyBorder="1" applyAlignment="1">
      <alignment horizontal="center" wrapText="1"/>
    </xf>
    <xf numFmtId="168" fontId="10" fillId="8" borderId="1" xfId="2" applyNumberFormat="1" applyFont="1" applyFill="1" applyBorder="1" applyAlignment="1">
      <alignment horizontal="right" wrapText="1"/>
    </xf>
    <xf numFmtId="0" fontId="10" fillId="8" borderId="1" xfId="0" applyFont="1" applyFill="1" applyBorder="1" applyAlignment="1">
      <alignment horizontal="right" wrapText="1"/>
    </xf>
    <xf numFmtId="0" fontId="10" fillId="8" borderId="1" xfId="0" applyFont="1" applyFill="1" applyBorder="1" applyAlignment="1">
      <alignment horizontal="left" wrapText="1"/>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168" fontId="10" fillId="4" borderId="1" xfId="2" applyNumberFormat="1" applyFont="1" applyFill="1" applyBorder="1" applyAlignment="1">
      <alignment horizontal="left" vertical="center" wrapText="1"/>
    </xf>
    <xf numFmtId="169" fontId="10" fillId="4" borderId="1" xfId="0" applyNumberFormat="1" applyFont="1" applyFill="1" applyBorder="1" applyAlignment="1">
      <alignment horizontal="left" vertical="center" wrapText="1"/>
    </xf>
    <xf numFmtId="0" fontId="10" fillId="0" borderId="3" xfId="0" applyFont="1" applyBorder="1" applyAlignment="1">
      <alignment horizontal="left" wrapText="1"/>
    </xf>
    <xf numFmtId="0" fontId="10" fillId="0" borderId="2" xfId="0" applyFont="1" applyBorder="1" applyAlignment="1">
      <alignment horizontal="left" wrapText="1"/>
    </xf>
    <xf numFmtId="0" fontId="9" fillId="0" borderId="6" xfId="0" applyFont="1" applyBorder="1" applyAlignment="1">
      <alignment horizontal="left" wrapText="1"/>
    </xf>
    <xf numFmtId="0" fontId="9" fillId="0" borderId="3" xfId="0" applyFont="1" applyBorder="1" applyAlignment="1">
      <alignment horizontal="center" wrapText="1"/>
    </xf>
    <xf numFmtId="0" fontId="9" fillId="0" borderId="6" xfId="0" applyFont="1" applyBorder="1" applyAlignment="1">
      <alignment horizontal="center" wrapText="1"/>
    </xf>
    <xf numFmtId="0" fontId="9" fillId="0" borderId="2" xfId="0" applyFont="1" applyBorder="1" applyAlignment="1">
      <alignment horizontal="center" wrapText="1"/>
    </xf>
    <xf numFmtId="0" fontId="9" fillId="0" borderId="15" xfId="0" applyFont="1" applyBorder="1" applyAlignment="1">
      <alignment horizontal="center" vertical="center" wrapText="1"/>
    </xf>
    <xf numFmtId="0" fontId="11" fillId="5" borderId="11" xfId="0" applyFont="1" applyFill="1" applyBorder="1" applyAlignment="1">
      <alignment horizontal="left" vertical="center" wrapText="1"/>
    </xf>
    <xf numFmtId="0" fontId="21" fillId="0" borderId="6" xfId="0" applyFont="1" applyBorder="1" applyAlignment="1">
      <alignment horizontal="center" vertical="center" wrapText="1"/>
    </xf>
    <xf numFmtId="0" fontId="9" fillId="0" borderId="5" xfId="0" applyFont="1" applyBorder="1" applyAlignment="1">
      <alignment horizontal="left" vertical="center" wrapText="1"/>
    </xf>
    <xf numFmtId="0" fontId="9" fillId="2" borderId="17" xfId="0" applyFont="1" applyFill="1" applyBorder="1" applyAlignment="1">
      <alignment horizontal="left" vertical="center" wrapText="1"/>
    </xf>
    <xf numFmtId="0" fontId="11" fillId="5"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25" fillId="0" borderId="0" xfId="0" applyFont="1" applyAlignment="1">
      <alignment vertical="center" wrapText="1"/>
    </xf>
    <xf numFmtId="0" fontId="10" fillId="0" borderId="1" xfId="0" applyFont="1" applyBorder="1" applyAlignment="1">
      <alignment vertical="center" wrapText="1"/>
    </xf>
    <xf numFmtId="0" fontId="10" fillId="0" borderId="0" xfId="0" applyFont="1" applyAlignment="1">
      <alignment vertical="center" wrapText="1"/>
    </xf>
    <xf numFmtId="168" fontId="10" fillId="0" borderId="1" xfId="2" applyNumberFormat="1" applyFont="1" applyBorder="1" applyAlignment="1">
      <alignment horizontal="center" vertical="center" wrapText="1"/>
    </xf>
    <xf numFmtId="168" fontId="10" fillId="0" borderId="1" xfId="2" applyNumberFormat="1" applyFont="1" applyBorder="1" applyAlignment="1">
      <alignment horizontal="right" vertical="center" wrapText="1"/>
    </xf>
    <xf numFmtId="0" fontId="10" fillId="0" borderId="1" xfId="0" applyFont="1" applyBorder="1" applyAlignment="1">
      <alignment horizontal="right" vertical="center" wrapText="1"/>
    </xf>
    <xf numFmtId="0" fontId="10" fillId="0" borderId="1" xfId="0" applyFont="1" applyBorder="1" applyAlignment="1">
      <alignment horizontal="left" vertical="center" wrapText="1"/>
    </xf>
    <xf numFmtId="0" fontId="10" fillId="0" borderId="0" xfId="0" applyFont="1" applyAlignment="1">
      <alignment vertical="center"/>
    </xf>
    <xf numFmtId="0" fontId="11" fillId="5" borderId="1" xfId="0" applyFont="1" applyFill="1" applyBorder="1" applyAlignment="1">
      <alignment horizontal="left" vertical="center" wrapText="1"/>
    </xf>
    <xf numFmtId="0" fontId="9" fillId="0" borderId="2" xfId="0" applyFont="1" applyBorder="1" applyAlignment="1">
      <alignment horizontal="left" wrapText="1"/>
    </xf>
    <xf numFmtId="0" fontId="9" fillId="0" borderId="15" xfId="0" applyFont="1" applyBorder="1" applyAlignment="1">
      <alignment vertical="center" wrapText="1"/>
    </xf>
    <xf numFmtId="20" fontId="9" fillId="0" borderId="1" xfId="0" applyNumberFormat="1" applyFont="1" applyBorder="1" applyAlignment="1">
      <alignment wrapText="1"/>
    </xf>
    <xf numFmtId="167" fontId="9" fillId="0" borderId="7" xfId="1" applyFont="1" applyBorder="1" applyAlignment="1">
      <alignment vertical="center" wrapText="1"/>
    </xf>
    <xf numFmtId="168" fontId="3" fillId="9" borderId="1" xfId="2" applyNumberFormat="1" applyFont="1" applyFill="1" applyBorder="1" applyAlignment="1">
      <alignment horizontal="center" vertical="center" wrapText="1"/>
    </xf>
    <xf numFmtId="167" fontId="29" fillId="0" borderId="0" xfId="1" applyFont="1" applyAlignment="1">
      <alignment horizontal="right" vertical="center"/>
    </xf>
    <xf numFmtId="0" fontId="21" fillId="4" borderId="7" xfId="0" applyFont="1" applyFill="1" applyBorder="1" applyAlignment="1">
      <alignment wrapText="1"/>
    </xf>
    <xf numFmtId="0" fontId="21" fillId="0" borderId="7" xfId="0" applyFont="1" applyBorder="1" applyAlignment="1">
      <alignment horizontal="center" vertical="center" wrapText="1"/>
    </xf>
    <xf numFmtId="0" fontId="33" fillId="10" borderId="0" xfId="0" applyFont="1" applyFill="1" applyAlignment="1">
      <alignment horizontal="center"/>
    </xf>
    <xf numFmtId="0" fontId="9" fillId="0" borderId="3" xfId="0" applyFont="1" applyBorder="1" applyAlignment="1">
      <alignment horizontal="justify" vertical="center" wrapText="1"/>
    </xf>
    <xf numFmtId="0" fontId="9" fillId="2" borderId="3" xfId="0" applyFont="1" applyFill="1" applyBorder="1" applyAlignment="1">
      <alignment vertical="center" wrapText="1"/>
    </xf>
    <xf numFmtId="168" fontId="9" fillId="2" borderId="6" xfId="2" applyNumberFormat="1" applyFont="1" applyFill="1" applyBorder="1" applyAlignment="1">
      <alignment horizontal="left" vertical="center" wrapText="1"/>
    </xf>
    <xf numFmtId="168" fontId="9" fillId="0" borderId="6" xfId="2" applyNumberFormat="1" applyFont="1" applyFill="1" applyBorder="1" applyAlignment="1">
      <alignment horizontal="left" vertical="center" wrapText="1"/>
    </xf>
    <xf numFmtId="0" fontId="11" fillId="5" borderId="18" xfId="0" applyFont="1" applyFill="1" applyBorder="1" applyAlignment="1">
      <alignment horizontal="left" wrapText="1"/>
    </xf>
    <xf numFmtId="0" fontId="9" fillId="0" borderId="16" xfId="0" applyFont="1" applyBorder="1" applyAlignment="1">
      <alignment vertical="center" wrapText="1"/>
    </xf>
    <xf numFmtId="0" fontId="10" fillId="4" borderId="3" xfId="0" applyFont="1" applyFill="1" applyBorder="1" applyAlignment="1">
      <alignment horizontal="left" wrapText="1"/>
    </xf>
    <xf numFmtId="0" fontId="9" fillId="0" borderId="17" xfId="0" applyFont="1" applyBorder="1" applyAlignment="1">
      <alignment vertical="center" wrapText="1"/>
    </xf>
    <xf numFmtId="0" fontId="9" fillId="0" borderId="34" xfId="0" applyFont="1" applyBorder="1" applyAlignment="1">
      <alignment vertical="center" wrapText="1"/>
    </xf>
    <xf numFmtId="0" fontId="30" fillId="0" borderId="3" xfId="0" applyFont="1" applyBorder="1" applyAlignment="1">
      <alignment vertical="center"/>
    </xf>
    <xf numFmtId="0" fontId="31" fillId="0" borderId="3" xfId="0" applyFont="1" applyBorder="1" applyAlignment="1">
      <alignment vertical="center" wrapText="1"/>
    </xf>
    <xf numFmtId="0" fontId="10" fillId="0" borderId="3" xfId="0" applyFont="1" applyBorder="1" applyAlignment="1">
      <alignment wrapText="1"/>
    </xf>
    <xf numFmtId="0" fontId="30" fillId="0" borderId="3" xfId="0" applyFont="1" applyBorder="1" applyAlignment="1">
      <alignment vertical="center" wrapText="1"/>
    </xf>
    <xf numFmtId="0" fontId="10" fillId="0" borderId="3" xfId="0" applyFont="1" applyBorder="1" applyAlignment="1">
      <alignment vertical="center" wrapText="1"/>
    </xf>
    <xf numFmtId="0" fontId="31" fillId="0" borderId="3" xfId="0" applyFont="1" applyBorder="1" applyAlignment="1">
      <alignment wrapText="1"/>
    </xf>
    <xf numFmtId="0" fontId="33" fillId="11" borderId="1" xfId="0" applyFont="1" applyFill="1" applyBorder="1"/>
    <xf numFmtId="168" fontId="9" fillId="0" borderId="3" xfId="2" applyNumberFormat="1" applyFont="1" applyFill="1" applyBorder="1" applyAlignment="1">
      <alignment horizontal="left" vertical="center" wrapText="1"/>
    </xf>
    <xf numFmtId="0" fontId="11" fillId="5" borderId="18" xfId="0" applyFont="1" applyFill="1" applyBorder="1" applyAlignment="1">
      <alignment horizontal="left" vertical="center" wrapText="1"/>
    </xf>
    <xf numFmtId="168" fontId="9" fillId="0" borderId="2" xfId="2" applyNumberFormat="1" applyFont="1" applyFill="1" applyBorder="1" applyAlignment="1">
      <alignment vertical="center" wrapText="1"/>
    </xf>
    <xf numFmtId="0" fontId="9" fillId="0" borderId="31" xfId="0" applyFont="1" applyBorder="1" applyAlignment="1">
      <alignment vertical="center"/>
    </xf>
    <xf numFmtId="0" fontId="14" fillId="0" borderId="31" xfId="0" applyFont="1" applyBorder="1" applyAlignment="1">
      <alignment horizontal="left" vertical="center" wrapText="1"/>
    </xf>
    <xf numFmtId="0" fontId="13" fillId="0" borderId="7" xfId="0" applyFont="1" applyBorder="1" applyAlignment="1">
      <alignment vertical="center" wrapText="1"/>
    </xf>
    <xf numFmtId="0" fontId="9" fillId="2" borderId="2" xfId="0" applyFont="1" applyFill="1" applyBorder="1" applyAlignment="1">
      <alignment vertical="center" wrapText="1"/>
    </xf>
    <xf numFmtId="0" fontId="9" fillId="6" borderId="2" xfId="0" applyFont="1" applyFill="1" applyBorder="1" applyAlignment="1">
      <alignment vertical="center" wrapText="1"/>
    </xf>
    <xf numFmtId="0" fontId="9" fillId="2" borderId="2" xfId="0" applyFont="1" applyFill="1" applyBorder="1" applyAlignment="1">
      <alignment horizontal="left" vertical="center" wrapText="1"/>
    </xf>
    <xf numFmtId="0" fontId="13" fillId="0" borderId="2" xfId="0" applyFont="1" applyBorder="1" applyAlignment="1">
      <alignment vertical="center" wrapText="1"/>
    </xf>
    <xf numFmtId="0" fontId="9" fillId="0" borderId="35" xfId="0" applyFont="1" applyBorder="1" applyAlignment="1">
      <alignment horizontal="left" vertical="center" wrapText="1"/>
    </xf>
    <xf numFmtId="0" fontId="9" fillId="0" borderId="31" xfId="0" applyFont="1" applyBorder="1" applyAlignment="1">
      <alignment horizontal="left" vertical="center" wrapText="1"/>
    </xf>
    <xf numFmtId="0" fontId="14" fillId="0" borderId="2" xfId="0" applyFont="1" applyBorder="1" applyAlignment="1">
      <alignment vertical="center" wrapText="1"/>
    </xf>
    <xf numFmtId="0" fontId="10" fillId="2" borderId="2" xfId="0" applyFont="1" applyFill="1" applyBorder="1" applyAlignment="1">
      <alignment horizontal="left" wrapText="1"/>
    </xf>
    <xf numFmtId="0" fontId="31" fillId="0" borderId="2" xfId="0" applyFont="1" applyBorder="1" applyAlignment="1">
      <alignment vertical="center" wrapText="1"/>
    </xf>
    <xf numFmtId="0" fontId="10" fillId="0" borderId="2" xfId="0" applyFont="1" applyBorder="1" applyAlignment="1">
      <alignment horizontal="left" vertical="center" wrapText="1"/>
    </xf>
    <xf numFmtId="0" fontId="31" fillId="0" borderId="2" xfId="0" applyFont="1" applyBorder="1" applyAlignment="1">
      <alignment wrapText="1"/>
    </xf>
    <xf numFmtId="0" fontId="19" fillId="2" borderId="1" xfId="0" applyFont="1" applyFill="1" applyBorder="1" applyAlignment="1">
      <alignment vertical="center" wrapText="1"/>
    </xf>
    <xf numFmtId="0" fontId="9" fillId="7" borderId="1" xfId="0" applyFont="1" applyFill="1" applyBorder="1" applyAlignment="1">
      <alignment wrapText="1"/>
    </xf>
    <xf numFmtId="0" fontId="11" fillId="5" borderId="1" xfId="0" applyFont="1" applyFill="1" applyBorder="1"/>
    <xf numFmtId="0" fontId="9" fillId="4" borderId="1" xfId="0" applyFont="1" applyFill="1" applyBorder="1" applyAlignment="1">
      <alignment wrapText="1"/>
    </xf>
    <xf numFmtId="0" fontId="10" fillId="4" borderId="1" xfId="0" applyFont="1" applyFill="1" applyBorder="1" applyAlignment="1">
      <alignment horizontal="center" wrapText="1"/>
    </xf>
    <xf numFmtId="0" fontId="9"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2" borderId="1" xfId="0" applyFont="1" applyFill="1" applyBorder="1" applyAlignment="1">
      <alignment horizontal="center" wrapText="1"/>
    </xf>
    <xf numFmtId="167" fontId="9" fillId="0" borderId="15" xfId="1" applyFont="1" applyBorder="1" applyAlignment="1">
      <alignment vertical="center" wrapText="1"/>
    </xf>
    <xf numFmtId="0" fontId="11" fillId="12" borderId="3" xfId="0" applyFont="1" applyFill="1" applyBorder="1" applyAlignment="1">
      <alignment horizontal="left" vertical="center" wrapText="1"/>
    </xf>
    <xf numFmtId="0" fontId="10" fillId="12" borderId="1" xfId="0" applyFont="1" applyFill="1" applyBorder="1" applyAlignment="1">
      <alignment wrapText="1"/>
    </xf>
    <xf numFmtId="0" fontId="11" fillId="12" borderId="1" xfId="0" applyFont="1" applyFill="1" applyBorder="1" applyAlignment="1">
      <alignment vertical="center" wrapText="1"/>
    </xf>
    <xf numFmtId="0" fontId="11" fillId="12" borderId="2" xfId="0" applyFont="1" applyFill="1" applyBorder="1" applyAlignment="1">
      <alignment vertical="center" wrapText="1"/>
    </xf>
    <xf numFmtId="0" fontId="10" fillId="12" borderId="3" xfId="0" applyFont="1" applyFill="1" applyBorder="1" applyAlignment="1">
      <alignment horizontal="left" vertical="center" wrapText="1"/>
    </xf>
    <xf numFmtId="168" fontId="11" fillId="5" borderId="1" xfId="0" applyNumberFormat="1" applyFont="1" applyFill="1" applyBorder="1" applyAlignment="1">
      <alignment horizontal="right" vertical="center" wrapText="1"/>
    </xf>
    <xf numFmtId="167" fontId="11" fillId="5" borderId="1" xfId="1" applyFont="1" applyFill="1" applyBorder="1" applyAlignment="1">
      <alignment horizontal="right" vertical="center" wrapText="1"/>
    </xf>
    <xf numFmtId="168" fontId="10" fillId="2" borderId="1" xfId="2" applyNumberFormat="1" applyFont="1" applyFill="1" applyBorder="1" applyAlignment="1">
      <alignment horizontal="right" vertical="center" wrapText="1"/>
    </xf>
    <xf numFmtId="168" fontId="10" fillId="4" borderId="1" xfId="2" applyNumberFormat="1" applyFont="1" applyFill="1" applyBorder="1" applyAlignment="1">
      <alignment horizontal="right" vertical="center" wrapText="1"/>
    </xf>
    <xf numFmtId="167" fontId="10" fillId="2" borderId="1" xfId="1" applyFont="1" applyFill="1" applyBorder="1" applyAlignment="1"/>
    <xf numFmtId="167" fontId="11" fillId="12" borderId="1" xfId="1" applyFont="1" applyFill="1" applyBorder="1" applyAlignment="1">
      <alignment horizontal="right" vertical="center" wrapText="1"/>
    </xf>
    <xf numFmtId="0" fontId="11" fillId="12" borderId="36" xfId="0" applyFont="1" applyFill="1" applyBorder="1" applyAlignment="1">
      <alignment vertical="center" wrapText="1"/>
    </xf>
    <xf numFmtId="0" fontId="9" fillId="2" borderId="1" xfId="0" applyFont="1" applyFill="1" applyBorder="1" applyAlignment="1">
      <alignment vertical="center"/>
    </xf>
    <xf numFmtId="168" fontId="10" fillId="9" borderId="1" xfId="2" applyNumberFormat="1" applyFont="1" applyFill="1" applyBorder="1" applyAlignment="1">
      <alignment wrapText="1"/>
    </xf>
    <xf numFmtId="168" fontId="9" fillId="9" borderId="1" xfId="2" applyNumberFormat="1" applyFont="1" applyFill="1" applyBorder="1" applyAlignment="1">
      <alignment horizontal="left" vertical="center" wrapText="1"/>
    </xf>
    <xf numFmtId="0" fontId="9" fillId="9" borderId="1" xfId="0" applyFont="1" applyFill="1" applyBorder="1" applyAlignment="1">
      <alignment vertical="center" wrapText="1"/>
    </xf>
    <xf numFmtId="168" fontId="3" fillId="0" borderId="4" xfId="2" applyNumberFormat="1" applyFont="1" applyFill="1" applyBorder="1" applyAlignment="1">
      <alignment horizontal="center" vertical="center" wrapText="1"/>
    </xf>
    <xf numFmtId="168" fontId="3" fillId="0" borderId="5" xfId="2" applyNumberFormat="1"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33" fillId="0" borderId="6" xfId="0" applyFont="1" applyBorder="1" applyAlignment="1">
      <alignment horizontal="left" wrapText="1"/>
    </xf>
    <xf numFmtId="0" fontId="33" fillId="0" borderId="2" xfId="0" applyFont="1" applyBorder="1" applyAlignment="1">
      <alignment horizontal="left" wrapText="1"/>
    </xf>
    <xf numFmtId="0" fontId="10" fillId="0" borderId="3" xfId="0" applyFont="1" applyBorder="1" applyAlignment="1">
      <alignment horizontal="left" wrapText="1"/>
    </xf>
    <xf numFmtId="0" fontId="10" fillId="0" borderId="2" xfId="0" applyFont="1" applyBorder="1" applyAlignment="1">
      <alignment horizontal="left" wrapText="1"/>
    </xf>
    <xf numFmtId="0" fontId="9" fillId="0" borderId="3" xfId="0" applyFont="1" applyBorder="1" applyAlignment="1">
      <alignment horizontal="left" wrapText="1"/>
    </xf>
    <xf numFmtId="0" fontId="9" fillId="0" borderId="6"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center" wrapText="1"/>
    </xf>
    <xf numFmtId="0" fontId="9" fillId="0" borderId="6" xfId="0" applyFont="1" applyBorder="1" applyAlignment="1">
      <alignment horizontal="center" wrapText="1"/>
    </xf>
    <xf numFmtId="0" fontId="9" fillId="0" borderId="2" xfId="0" applyFont="1" applyBorder="1" applyAlignment="1">
      <alignment horizontal="center" wrapText="1"/>
    </xf>
    <xf numFmtId="0" fontId="11" fillId="5" borderId="10"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9" fillId="0" borderId="19" xfId="0" applyFont="1" applyBorder="1"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4" fillId="0" borderId="2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9" fillId="0" borderId="4" xfId="0" applyFont="1" applyBorder="1" applyAlignment="1">
      <alignment horizontal="left" vertical="center" wrapText="1"/>
    </xf>
    <xf numFmtId="0" fontId="9" fillId="0" borderId="7" xfId="0" applyFont="1" applyBorder="1" applyAlignment="1">
      <alignment horizontal="left" vertical="center" wrapText="1"/>
    </xf>
    <xf numFmtId="0" fontId="9" fillId="0" borderId="35" xfId="0" applyFont="1" applyBorder="1" applyAlignment="1">
      <alignment horizontal="left" vertical="center" wrapText="1"/>
    </xf>
    <xf numFmtId="168" fontId="4" fillId="0" borderId="4" xfId="2" applyNumberFormat="1" applyFont="1" applyFill="1" applyBorder="1" applyAlignment="1">
      <alignment horizontal="center" vertical="center" wrapText="1"/>
    </xf>
    <xf numFmtId="168" fontId="4" fillId="0" borderId="5" xfId="2" applyNumberFormat="1"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6" xfId="0" applyFont="1" applyBorder="1" applyAlignment="1">
      <alignment horizontal="left" vertical="center" wrapText="1"/>
    </xf>
    <xf numFmtId="0" fontId="11" fillId="5" borderId="3" xfId="0" applyFont="1" applyFill="1" applyBorder="1" applyAlignment="1">
      <alignment horizontal="left" wrapText="1"/>
    </xf>
    <xf numFmtId="0" fontId="11" fillId="5" borderId="6" xfId="0" applyFont="1" applyFill="1" applyBorder="1" applyAlignment="1">
      <alignment horizontal="left" wrapText="1"/>
    </xf>
    <xf numFmtId="168" fontId="12" fillId="0" borderId="4" xfId="2" applyNumberFormat="1" applyFont="1" applyFill="1" applyBorder="1" applyAlignment="1">
      <alignment horizontal="center" vertical="center" wrapText="1"/>
    </xf>
    <xf numFmtId="168" fontId="12" fillId="0" borderId="5" xfId="2" applyNumberFormat="1" applyFont="1" applyFill="1" applyBorder="1" applyAlignment="1">
      <alignment horizontal="center" vertical="center" wrapText="1"/>
    </xf>
    <xf numFmtId="0" fontId="9" fillId="0" borderId="31" xfId="0" applyFont="1" applyBorder="1" applyAlignment="1">
      <alignment horizontal="lef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0" fontId="14" fillId="0" borderId="5" xfId="0" applyFont="1" applyBorder="1" applyAlignment="1">
      <alignment horizontal="left" vertical="center" wrapText="1"/>
    </xf>
    <xf numFmtId="0" fontId="11" fillId="5" borderId="3"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30" fillId="0" borderId="1" xfId="0" applyFont="1" applyBorder="1" applyAlignment="1">
      <alignment horizontal="center" vertical="center" wrapText="1"/>
    </xf>
    <xf numFmtId="0" fontId="9" fillId="2" borderId="15" xfId="0" applyFont="1" applyFill="1" applyBorder="1" applyAlignment="1">
      <alignment horizontal="left" vertical="center" wrapText="1"/>
    </xf>
    <xf numFmtId="0" fontId="11" fillId="5" borderId="2" xfId="0" applyFont="1" applyFill="1" applyBorder="1" applyAlignment="1">
      <alignment horizontal="left" wrapText="1"/>
    </xf>
    <xf numFmtId="0" fontId="9" fillId="9" borderId="4"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5"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15" xfId="0" applyFont="1" applyBorder="1" applyAlignment="1">
      <alignment horizontal="left" vertical="center" wrapText="1"/>
    </xf>
    <xf numFmtId="0" fontId="10" fillId="0" borderId="5" xfId="0" applyFont="1" applyBorder="1" applyAlignment="1">
      <alignment horizontal="left" vertical="center" wrapText="1"/>
    </xf>
    <xf numFmtId="0" fontId="9" fillId="2" borderId="1" xfId="0" applyFont="1" applyFill="1" applyBorder="1" applyAlignment="1">
      <alignment horizontal="left" vertical="center" wrapText="1"/>
    </xf>
    <xf numFmtId="0" fontId="11" fillId="5" borderId="6" xfId="0" applyFont="1" applyFill="1" applyBorder="1" applyAlignment="1">
      <alignment horizontal="center" vertical="center" wrapText="1"/>
    </xf>
    <xf numFmtId="0" fontId="11" fillId="12" borderId="1" xfId="0" applyFont="1" applyFill="1" applyBorder="1" applyAlignment="1">
      <alignment horizontal="left" vertical="center" wrapText="1"/>
    </xf>
    <xf numFmtId="0" fontId="30" fillId="0" borderId="1" xfId="0" applyFont="1" applyBorder="1" applyAlignment="1">
      <alignment vertical="center" wrapText="1"/>
    </xf>
    <xf numFmtId="0" fontId="10" fillId="4" borderId="1" xfId="0" applyFont="1" applyFill="1" applyBorder="1" applyAlignment="1">
      <alignment horizontal="center" wrapText="1"/>
    </xf>
    <xf numFmtId="0" fontId="10" fillId="12" borderId="1" xfId="0" applyFont="1" applyFill="1" applyBorder="1" applyAlignment="1">
      <alignment horizontal="left" vertical="center" wrapTex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5" borderId="2"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6" fillId="0" borderId="0" xfId="0" applyFont="1" applyAlignment="1">
      <alignment horizontal="center"/>
    </xf>
  </cellXfs>
  <cellStyles count="10">
    <cellStyle name="Milliers" xfId="2" builtinId="3"/>
    <cellStyle name="Milliers [0]" xfId="1" builtinId="6"/>
    <cellStyle name="Milliers [0] 2" xfId="9" xr:uid="{00000000-0005-0000-0000-000002000000}"/>
    <cellStyle name="Milliers 2" xfId="5" xr:uid="{00000000-0005-0000-0000-000003000000}"/>
    <cellStyle name="Milliers 3" xfId="8" xr:uid="{00000000-0005-0000-0000-000004000000}"/>
    <cellStyle name="Normal" xfId="0" builtinId="0"/>
    <cellStyle name="Normal 2" xfId="6" xr:uid="{00000000-0005-0000-0000-000006000000}"/>
    <cellStyle name="Normal 2 2" xfId="4" xr:uid="{00000000-0005-0000-0000-000007000000}"/>
    <cellStyle name="Normal 3" xfId="3" xr:uid="{00000000-0005-0000-0000-000008000000}"/>
    <cellStyle name="Pourcentag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offi AHOLOU" id="{3DC65A18-4322-4842-8A7C-334368BA5668}" userId="dae45cb67e10a553" providerId="Windows Liv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4" dT="2022-11-29T17:01:51.70" personId="{3DC65A18-4322-4842-8A7C-334368BA5668}" id="{DB6D2073-351F-D04B-B174-E12227AC55B7}">
    <text xml:space="preserve">Est ce que les 38 tiennent compte de l’assurance maladie que nous avons décidé d’offrir aux étudiants nationaux? </text>
  </threadedComment>
  <threadedComment ref="B58" dT="2022-11-29T17:00:52.08" personId="{3DC65A18-4322-4842-8A7C-334368BA5668}" id="{83E2A5C7-C13F-8E43-A1AC-EB5F04EBD6B8}">
    <text>Dans le plan d’accélération on prévu finir avec cet idl. Donc le chiffre 38 n’est pas bon</text>
  </threadedComment>
  <threadedComment ref="B60" dT="2022-11-29T17:00:07.41" personId="{3DC65A18-4322-4842-8A7C-334368BA5668}" id="{AC238012-0E88-7841-87ED-817ADF24C278}">
    <text>Cette auto-évaluation concerne ce que le comité d’évaluation mis en place par l’université va faire en vue d’aller vers l’accréditation. Donc ce n’est pas un consultant à recruter.</text>
  </threadedComment>
  <threadedComment ref="A63" dT="2022-11-29T17:03:41.59" personId="{3DC65A18-4322-4842-8A7C-334368BA5668}" id="{F0E0D9B2-90AA-0645-BC1F-E70D3E523B70}">
    <text>L’abonnement aux ressources numériques intègrent ELSEVIER. Or, il est prévu que nous puissions payer 25 000 $ l’année prochaine pour compléter les sous de l’université. Donc revoir le montant</text>
  </threadedComment>
  <threadedComment ref="B69" dT="2022-11-29T17:05:06.38" personId="{3DC65A18-4322-4842-8A7C-334368BA5668}" id="{A9036790-5578-2348-A320-86CA28A91D33}">
    <text>C’est bon. Ceci annule le commentaire qui concerne le même poste précédemment</text>
  </threadedComment>
  <threadedComment ref="B95" dT="2022-11-29T17:07:54.61" personId="{3DC65A18-4322-4842-8A7C-334368BA5668}" id="{845A93CB-C75C-A042-8579-4C77F8A3CBB7}">
    <text>15 c’est peu. Allons au moins à 30. Toutes les revues scoops sont en anglais. Donc même les articles qui viendront des projets de recherche seront en français et leur traductions seront à la charge du CERViDA</text>
  </threadedComment>
  <threadedComment ref="B112" dT="2022-11-29T17:09:38.28" personId="{3DC65A18-4322-4842-8A7C-334368BA5668}" id="{C3E557B2-7CCA-E948-A364-9357E1EBFB25}">
    <text>Augmenter le nombre de doctorants à 20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80"/>
  <sheetViews>
    <sheetView tabSelected="1" topLeftCell="A3" zoomScale="110" zoomScaleNormal="110" zoomScaleSheetLayoutView="110" workbookViewId="0">
      <pane xSplit="2" ySplit="6" topLeftCell="C48" activePane="bottomRight" state="frozen"/>
      <selection activeCell="A3" sqref="A3"/>
      <selection pane="topRight" activeCell="C3" sqref="C3"/>
      <selection pane="bottomLeft" activeCell="A7" sqref="A7"/>
      <selection pane="bottomRight" activeCell="B54" sqref="B54"/>
    </sheetView>
  </sheetViews>
  <sheetFormatPr baseColWidth="10" defaultColWidth="9.1640625" defaultRowHeight="14" x14ac:dyDescent="0.15"/>
  <cols>
    <col min="1" max="1" width="28" style="62" customWidth="1"/>
    <col min="2" max="2" width="33.5" style="2" customWidth="1"/>
    <col min="3" max="3" width="23.6640625" style="2" customWidth="1"/>
    <col min="4" max="4" width="1.83203125" style="2" customWidth="1"/>
    <col min="5" max="7" width="2.33203125" style="2" customWidth="1"/>
    <col min="8" max="8" width="1.83203125" style="2" customWidth="1"/>
    <col min="9" max="11" width="2.33203125" style="2" customWidth="1"/>
    <col min="12" max="12" width="1.83203125" style="2" customWidth="1"/>
    <col min="13" max="15" width="2.33203125" style="2" customWidth="1"/>
    <col min="16" max="16" width="1.83203125" style="2" customWidth="1"/>
    <col min="17" max="18" width="2.33203125" style="2" customWidth="1"/>
    <col min="19" max="19" width="2.6640625" style="2" customWidth="1"/>
    <col min="20" max="20" width="1.6640625" style="2" customWidth="1"/>
    <col min="21" max="21" width="33.5" style="62" customWidth="1"/>
    <col min="22" max="22" width="9.1640625" style="2" customWidth="1"/>
    <col min="23" max="23" width="11.5" style="169" customWidth="1"/>
    <col min="24" max="24" width="18.1640625" style="169" customWidth="1"/>
    <col min="25" max="25" width="12.5" style="117" customWidth="1"/>
    <col min="26" max="26" width="11.1640625" style="63" customWidth="1"/>
    <col min="27" max="27" width="14.6640625" style="62" customWidth="1"/>
    <col min="28" max="28" width="12.5" style="2" bestFit="1" customWidth="1"/>
    <col min="29" max="34" width="9.1640625" style="2"/>
    <col min="35" max="16384" width="9.1640625" style="3"/>
  </cols>
  <sheetData>
    <row r="1" spans="1:34" x14ac:dyDescent="0.15">
      <c r="A1" s="326" t="s">
        <v>0</v>
      </c>
      <c r="B1" s="327"/>
      <c r="C1" s="231"/>
      <c r="D1" s="1"/>
      <c r="E1" s="113"/>
      <c r="F1" s="328" t="s">
        <v>1</v>
      </c>
      <c r="G1" s="329"/>
      <c r="H1" s="329"/>
      <c r="I1" s="329"/>
      <c r="J1" s="329"/>
      <c r="K1" s="329"/>
      <c r="L1" s="329"/>
      <c r="M1" s="329"/>
      <c r="N1" s="329"/>
      <c r="O1" s="329"/>
      <c r="P1" s="329"/>
      <c r="Q1" s="329"/>
      <c r="R1" s="329"/>
      <c r="S1" s="329"/>
      <c r="T1" s="329"/>
      <c r="U1" s="329"/>
      <c r="V1" s="329"/>
      <c r="W1" s="329"/>
      <c r="X1" s="329"/>
      <c r="Y1" s="329"/>
      <c r="Z1" s="329"/>
      <c r="AA1" s="330"/>
    </row>
    <row r="2" spans="1:34" x14ac:dyDescent="0.15">
      <c r="A2" s="326" t="s">
        <v>2</v>
      </c>
      <c r="B2" s="327"/>
      <c r="C2" s="231"/>
      <c r="D2" s="1"/>
      <c r="E2" s="331" t="s">
        <v>3</v>
      </c>
      <c r="F2" s="332"/>
      <c r="G2" s="332"/>
      <c r="H2" s="332"/>
      <c r="I2" s="332"/>
      <c r="J2" s="332"/>
      <c r="K2" s="332"/>
      <c r="L2" s="332"/>
      <c r="M2" s="332"/>
      <c r="N2" s="332"/>
      <c r="O2" s="332"/>
      <c r="P2" s="332"/>
      <c r="Q2" s="332"/>
      <c r="R2" s="332"/>
      <c r="S2" s="332"/>
      <c r="T2" s="332"/>
      <c r="U2" s="332"/>
      <c r="V2" s="332"/>
      <c r="W2" s="332"/>
      <c r="X2" s="332"/>
      <c r="Y2" s="332"/>
      <c r="Z2" s="332"/>
      <c r="AA2" s="333"/>
    </row>
    <row r="3" spans="1:34" ht="15" x14ac:dyDescent="0.15">
      <c r="A3" s="230"/>
      <c r="B3" s="231" t="s">
        <v>3</v>
      </c>
      <c r="C3" s="231"/>
      <c r="D3" s="1"/>
      <c r="E3" s="233"/>
      <c r="F3" s="234"/>
      <c r="G3" s="234"/>
      <c r="H3" s="234"/>
      <c r="I3" s="234"/>
      <c r="J3" s="234"/>
      <c r="K3" s="234"/>
      <c r="L3" s="234"/>
      <c r="M3" s="234"/>
      <c r="N3" s="234"/>
      <c r="O3" s="234"/>
      <c r="P3" s="234"/>
      <c r="Q3" s="234"/>
      <c r="R3" s="234"/>
      <c r="S3" s="234"/>
      <c r="T3" s="234"/>
      <c r="U3" s="234"/>
      <c r="V3" s="234"/>
      <c r="W3" s="234"/>
      <c r="X3" s="234"/>
      <c r="Y3" s="234"/>
      <c r="Z3" s="234"/>
      <c r="AA3" s="235"/>
    </row>
    <row r="4" spans="1:34" ht="16" x14ac:dyDescent="0.2">
      <c r="A4" s="230"/>
      <c r="B4" s="231"/>
      <c r="C4" s="231"/>
      <c r="D4" s="1"/>
      <c r="E4" s="260"/>
      <c r="F4" s="324" t="s">
        <v>1</v>
      </c>
      <c r="G4" s="324"/>
      <c r="H4" s="324"/>
      <c r="I4" s="324"/>
      <c r="J4" s="324"/>
      <c r="K4" s="324"/>
      <c r="L4" s="324"/>
      <c r="M4" s="324"/>
      <c r="N4" s="324"/>
      <c r="O4" s="324"/>
      <c r="P4" s="324"/>
      <c r="Q4" s="324"/>
      <c r="R4" s="324"/>
      <c r="S4" s="324"/>
      <c r="T4" s="324"/>
      <c r="U4" s="324"/>
      <c r="V4" s="324"/>
      <c r="W4" s="324"/>
      <c r="X4" s="324"/>
      <c r="Y4" s="324"/>
      <c r="Z4" s="324"/>
      <c r="AA4" s="325"/>
    </row>
    <row r="5" spans="1:34" x14ac:dyDescent="0.15">
      <c r="A5" s="326" t="s">
        <v>171</v>
      </c>
      <c r="B5" s="327"/>
      <c r="C5" s="231"/>
      <c r="D5" s="1"/>
      <c r="E5" s="5"/>
      <c r="F5" s="328" t="s">
        <v>4</v>
      </c>
      <c r="G5" s="329"/>
      <c r="H5" s="329"/>
      <c r="I5" s="329"/>
      <c r="J5" s="329"/>
      <c r="K5" s="329"/>
      <c r="L5" s="329"/>
      <c r="M5" s="329"/>
      <c r="N5" s="329"/>
      <c r="O5" s="329"/>
      <c r="P5" s="329"/>
      <c r="Q5" s="329"/>
      <c r="R5" s="329"/>
      <c r="S5" s="329"/>
      <c r="T5" s="329"/>
      <c r="U5" s="329"/>
      <c r="V5" s="329"/>
      <c r="W5" s="329"/>
      <c r="X5" s="329"/>
      <c r="Y5" s="329"/>
      <c r="Z5" s="329"/>
      <c r="AA5" s="330"/>
    </row>
    <row r="6" spans="1:34" x14ac:dyDescent="0.15">
      <c r="A6" s="326" t="s">
        <v>180</v>
      </c>
      <c r="B6" s="327"/>
      <c r="C6" s="231"/>
      <c r="D6" s="1"/>
      <c r="E6" s="331"/>
      <c r="F6" s="332"/>
      <c r="G6" s="332"/>
      <c r="H6" s="332"/>
      <c r="I6" s="332"/>
      <c r="J6" s="332"/>
      <c r="K6" s="332"/>
      <c r="L6" s="332"/>
      <c r="M6" s="332"/>
      <c r="N6" s="332"/>
      <c r="O6" s="332"/>
      <c r="P6" s="332"/>
      <c r="Q6" s="332"/>
      <c r="R6" s="332"/>
      <c r="S6" s="332"/>
      <c r="T6" s="332"/>
      <c r="U6" s="332"/>
      <c r="V6" s="332"/>
      <c r="W6" s="332"/>
      <c r="X6" s="332"/>
      <c r="Y6" s="332"/>
      <c r="Z6" s="332"/>
      <c r="AA6" s="333"/>
    </row>
    <row r="7" spans="1:34" s="7" customFormat="1" ht="13" x14ac:dyDescent="0.2">
      <c r="A7" s="339" t="s">
        <v>5</v>
      </c>
      <c r="B7" s="346" t="s">
        <v>6</v>
      </c>
      <c r="C7" s="348" t="s">
        <v>7</v>
      </c>
      <c r="E7" s="336" t="s">
        <v>333</v>
      </c>
      <c r="F7" s="337"/>
      <c r="G7" s="338"/>
      <c r="H7" s="238"/>
      <c r="I7" s="336" t="s">
        <v>334</v>
      </c>
      <c r="J7" s="337"/>
      <c r="K7" s="338"/>
      <c r="L7" s="238"/>
      <c r="M7" s="336" t="s">
        <v>335</v>
      </c>
      <c r="N7" s="337"/>
      <c r="O7" s="338"/>
      <c r="P7" s="238"/>
      <c r="Q7" s="336" t="s">
        <v>336</v>
      </c>
      <c r="R7" s="337"/>
      <c r="S7" s="338"/>
      <c r="T7" s="259"/>
      <c r="U7" s="339" t="s">
        <v>8</v>
      </c>
      <c r="V7" s="341" t="s">
        <v>9</v>
      </c>
      <c r="W7" s="353" t="s">
        <v>10</v>
      </c>
      <c r="X7" s="353" t="s">
        <v>331</v>
      </c>
      <c r="Y7" s="353" t="s">
        <v>11</v>
      </c>
      <c r="Z7" s="341" t="s">
        <v>12</v>
      </c>
      <c r="AA7" s="341" t="s">
        <v>13</v>
      </c>
      <c r="AB7" s="6"/>
      <c r="AC7" s="6"/>
      <c r="AD7" s="6"/>
      <c r="AE7" s="6"/>
      <c r="AF7" s="6"/>
      <c r="AG7" s="6"/>
      <c r="AH7" s="6"/>
    </row>
    <row r="8" spans="1:34" s="7" customFormat="1" ht="31.75" customHeight="1" x14ac:dyDescent="0.2">
      <c r="A8" s="340"/>
      <c r="B8" s="347"/>
      <c r="C8" s="349"/>
      <c r="D8" s="276"/>
      <c r="E8" s="100" t="s">
        <v>14</v>
      </c>
      <c r="F8" s="100" t="s">
        <v>15</v>
      </c>
      <c r="G8" s="100" t="s">
        <v>16</v>
      </c>
      <c r="H8" s="276"/>
      <c r="I8" s="100" t="s">
        <v>17</v>
      </c>
      <c r="J8" s="100" t="s">
        <v>16</v>
      </c>
      <c r="K8" s="100" t="s">
        <v>14</v>
      </c>
      <c r="L8" s="276"/>
      <c r="M8" s="100" t="s">
        <v>14</v>
      </c>
      <c r="N8" s="100" t="s">
        <v>17</v>
      </c>
      <c r="O8" s="100" t="s">
        <v>18</v>
      </c>
      <c r="P8" s="276"/>
      <c r="Q8" s="100" t="s">
        <v>19</v>
      </c>
      <c r="R8" s="100" t="s">
        <v>20</v>
      </c>
      <c r="S8" s="100" t="s">
        <v>21</v>
      </c>
      <c r="T8" s="276"/>
      <c r="U8" s="340"/>
      <c r="V8" s="342"/>
      <c r="W8" s="354"/>
      <c r="X8" s="354"/>
      <c r="Y8" s="354"/>
      <c r="Z8" s="342"/>
      <c r="AA8" s="342"/>
      <c r="AB8" s="6"/>
      <c r="AC8" s="6"/>
      <c r="AD8" s="6"/>
      <c r="AE8" s="6"/>
      <c r="AF8" s="6"/>
      <c r="AG8" s="6"/>
      <c r="AH8" s="6"/>
    </row>
    <row r="9" spans="1:34" x14ac:dyDescent="0.15">
      <c r="A9" s="74" t="s">
        <v>22</v>
      </c>
      <c r="B9" s="8"/>
      <c r="C9" s="9"/>
      <c r="D9" s="9"/>
      <c r="E9" s="101"/>
      <c r="F9" s="101"/>
      <c r="G9" s="101"/>
      <c r="H9" s="101"/>
      <c r="I9" s="101"/>
      <c r="J9" s="101"/>
      <c r="K9" s="101"/>
      <c r="L9" s="101"/>
      <c r="M9" s="101"/>
      <c r="N9" s="101"/>
      <c r="O9" s="101"/>
      <c r="P9" s="101"/>
      <c r="Q9" s="101"/>
      <c r="R9" s="101"/>
      <c r="S9" s="101"/>
      <c r="T9" s="258"/>
      <c r="U9" s="106"/>
      <c r="V9" s="10"/>
      <c r="W9" s="153">
        <f>+W10</f>
        <v>499437.78399999999</v>
      </c>
      <c r="X9" s="153">
        <f>+W9*500</f>
        <v>249718892</v>
      </c>
      <c r="Y9" s="28"/>
      <c r="Z9" s="11"/>
      <c r="AA9" s="10"/>
      <c r="AB9" s="185"/>
    </row>
    <row r="10" spans="1:34" s="17" customFormat="1" ht="26.5" customHeight="1" thickBot="1" x14ac:dyDescent="0.25">
      <c r="A10" s="334" t="s">
        <v>23</v>
      </c>
      <c r="B10" s="335"/>
      <c r="C10" s="237"/>
      <c r="D10" s="12"/>
      <c r="E10" s="102"/>
      <c r="F10" s="102"/>
      <c r="G10" s="102"/>
      <c r="H10" s="102"/>
      <c r="I10" s="102"/>
      <c r="J10" s="102"/>
      <c r="K10" s="102"/>
      <c r="L10" s="102"/>
      <c r="M10" s="102"/>
      <c r="N10" s="102"/>
      <c r="O10" s="102"/>
      <c r="P10" s="102"/>
      <c r="Q10" s="102"/>
      <c r="R10" s="102"/>
      <c r="S10" s="102"/>
      <c r="T10" s="102"/>
      <c r="U10" s="14"/>
      <c r="V10" s="13"/>
      <c r="W10" s="154">
        <f>+SUM(W11:W34)</f>
        <v>499437.78399999999</v>
      </c>
      <c r="X10" s="154">
        <f>+W10*500</f>
        <v>249718892</v>
      </c>
      <c r="Y10" s="15"/>
      <c r="Z10" s="15"/>
      <c r="AA10" s="13"/>
      <c r="AB10" s="16"/>
      <c r="AC10" s="16"/>
      <c r="AD10" s="16"/>
      <c r="AE10" s="16"/>
      <c r="AF10" s="16"/>
      <c r="AG10" s="16"/>
      <c r="AH10" s="16"/>
    </row>
    <row r="11" spans="1:34" s="17" customFormat="1" ht="16" x14ac:dyDescent="0.2">
      <c r="A11" s="343" t="s">
        <v>210</v>
      </c>
      <c r="B11" s="18" t="s">
        <v>166</v>
      </c>
      <c r="C11" s="66"/>
      <c r="D11" s="276"/>
      <c r="E11" s="111" t="s">
        <v>363</v>
      </c>
      <c r="F11" s="111" t="s">
        <v>363</v>
      </c>
      <c r="G11" s="111" t="s">
        <v>363</v>
      </c>
      <c r="H11" s="276"/>
      <c r="I11" s="111" t="s">
        <v>363</v>
      </c>
      <c r="J11" s="111" t="s">
        <v>363</v>
      </c>
      <c r="K11" s="111" t="s">
        <v>363</v>
      </c>
      <c r="L11" s="276"/>
      <c r="M11" s="111" t="s">
        <v>363</v>
      </c>
      <c r="N11" s="111" t="s">
        <v>363</v>
      </c>
      <c r="O11" s="111" t="s">
        <v>363</v>
      </c>
      <c r="P11" s="276"/>
      <c r="Q11" s="111" t="s">
        <v>363</v>
      </c>
      <c r="R11" s="111" t="s">
        <v>363</v>
      </c>
      <c r="S11" s="111" t="s">
        <v>363</v>
      </c>
      <c r="T11" s="276"/>
      <c r="U11" s="97" t="s">
        <v>24</v>
      </c>
      <c r="V11" s="19"/>
      <c r="W11" s="152">
        <f>+(1739110+1501109+1073045+1232159+314068)*0.024</f>
        <v>140627.78400000001</v>
      </c>
      <c r="X11" s="152">
        <f>+W11*500</f>
        <v>70313892</v>
      </c>
      <c r="Y11" s="116"/>
      <c r="Z11" s="183"/>
      <c r="AA11" s="184"/>
      <c r="AB11" s="16"/>
      <c r="AC11" s="16"/>
      <c r="AD11" s="16"/>
      <c r="AE11" s="16"/>
      <c r="AF11" s="16"/>
      <c r="AG11" s="16"/>
      <c r="AH11" s="16"/>
    </row>
    <row r="12" spans="1:34" s="17" customFormat="1" ht="16" x14ac:dyDescent="0.2">
      <c r="A12" s="344"/>
      <c r="B12" s="18" t="s">
        <v>364</v>
      </c>
      <c r="C12" s="66"/>
      <c r="D12" s="276"/>
      <c r="E12" s="111" t="s">
        <v>363</v>
      </c>
      <c r="F12" s="111" t="s">
        <v>363</v>
      </c>
      <c r="G12" s="111" t="s">
        <v>363</v>
      </c>
      <c r="H12" s="276"/>
      <c r="I12" s="111" t="s">
        <v>363</v>
      </c>
      <c r="J12" s="111" t="s">
        <v>363</v>
      </c>
      <c r="K12" s="111" t="s">
        <v>363</v>
      </c>
      <c r="L12" s="276"/>
      <c r="M12" s="111" t="s">
        <v>363</v>
      </c>
      <c r="N12" s="111" t="s">
        <v>363</v>
      </c>
      <c r="O12" s="111" t="s">
        <v>363</v>
      </c>
      <c r="P12" s="276"/>
      <c r="Q12" s="111" t="s">
        <v>363</v>
      </c>
      <c r="R12" s="111" t="s">
        <v>363</v>
      </c>
      <c r="S12" s="111" t="s">
        <v>363</v>
      </c>
      <c r="T12" s="276"/>
      <c r="U12" s="97" t="s">
        <v>365</v>
      </c>
      <c r="V12" s="19"/>
      <c r="W12" s="152">
        <f>100000*4*0.024</f>
        <v>9600</v>
      </c>
      <c r="X12" s="152">
        <f t="shared" ref="X12:X13" si="0">+W12*500</f>
        <v>4800000</v>
      </c>
      <c r="Y12" s="116"/>
      <c r="Z12" s="183"/>
      <c r="AA12" s="302"/>
      <c r="AB12" s="16"/>
      <c r="AC12" s="16"/>
      <c r="AD12" s="16"/>
      <c r="AE12" s="16"/>
      <c r="AF12" s="16"/>
      <c r="AG12" s="16"/>
      <c r="AH12" s="16"/>
    </row>
    <row r="13" spans="1:34" s="17" customFormat="1" ht="30" x14ac:dyDescent="0.2">
      <c r="A13" s="344"/>
      <c r="B13" s="18" t="s">
        <v>26</v>
      </c>
      <c r="C13" s="66"/>
      <c r="D13" s="276"/>
      <c r="E13" s="111" t="s">
        <v>363</v>
      </c>
      <c r="F13" s="111" t="s">
        <v>363</v>
      </c>
      <c r="G13" s="111" t="s">
        <v>363</v>
      </c>
      <c r="H13" s="276"/>
      <c r="I13" s="111" t="s">
        <v>363</v>
      </c>
      <c r="J13" s="111" t="s">
        <v>363</v>
      </c>
      <c r="K13" s="111" t="s">
        <v>363</v>
      </c>
      <c r="L13" s="276"/>
      <c r="M13" s="111" t="s">
        <v>363</v>
      </c>
      <c r="N13" s="111" t="s">
        <v>363</v>
      </c>
      <c r="O13" s="111" t="s">
        <v>363</v>
      </c>
      <c r="P13" s="276"/>
      <c r="Q13" s="111" t="s">
        <v>363</v>
      </c>
      <c r="R13" s="111" t="s">
        <v>363</v>
      </c>
      <c r="S13" s="111" t="s">
        <v>363</v>
      </c>
      <c r="T13" s="276"/>
      <c r="U13" s="97" t="s">
        <v>27</v>
      </c>
      <c r="V13" s="19"/>
      <c r="W13" s="79">
        <f>30000000/500</f>
        <v>60000</v>
      </c>
      <c r="X13" s="152">
        <f t="shared" si="0"/>
        <v>30000000</v>
      </c>
      <c r="Y13" s="116"/>
      <c r="Z13" s="21"/>
      <c r="AA13" s="344"/>
      <c r="AB13" s="16"/>
      <c r="AC13" s="16"/>
      <c r="AD13" s="16"/>
      <c r="AE13" s="16"/>
      <c r="AF13" s="16"/>
      <c r="AG13" s="16"/>
      <c r="AH13" s="16"/>
    </row>
    <row r="14" spans="1:34" s="17" customFormat="1" ht="16" x14ac:dyDescent="0.2">
      <c r="A14" s="345"/>
      <c r="B14" s="18" t="s">
        <v>28</v>
      </c>
      <c r="C14" s="66"/>
      <c r="D14" s="276"/>
      <c r="E14" s="111" t="s">
        <v>363</v>
      </c>
      <c r="F14" s="111" t="s">
        <v>363</v>
      </c>
      <c r="G14" s="111" t="s">
        <v>363</v>
      </c>
      <c r="H14" s="276"/>
      <c r="I14" s="111" t="s">
        <v>363</v>
      </c>
      <c r="J14" s="111" t="s">
        <v>363</v>
      </c>
      <c r="K14" s="111" t="s">
        <v>363</v>
      </c>
      <c r="L14" s="276"/>
      <c r="M14" s="111" t="s">
        <v>363</v>
      </c>
      <c r="N14" s="111" t="s">
        <v>363</v>
      </c>
      <c r="O14" s="111" t="s">
        <v>363</v>
      </c>
      <c r="P14" s="276"/>
      <c r="Q14" s="111" t="s">
        <v>363</v>
      </c>
      <c r="R14" s="111" t="s">
        <v>363</v>
      </c>
      <c r="S14" s="111" t="s">
        <v>363</v>
      </c>
      <c r="T14" s="276"/>
      <c r="U14" s="97" t="s">
        <v>29</v>
      </c>
      <c r="V14" s="19"/>
      <c r="W14" s="152">
        <v>10310</v>
      </c>
      <c r="X14" s="152">
        <f t="shared" ref="X14:X34" si="1">+W14*500</f>
        <v>5155000</v>
      </c>
      <c r="Y14" s="116"/>
      <c r="Z14" s="21"/>
      <c r="AA14" s="345"/>
      <c r="AB14" s="16"/>
      <c r="AC14" s="16"/>
      <c r="AD14" s="16"/>
      <c r="AE14" s="16"/>
      <c r="AF14" s="16"/>
      <c r="AG14" s="16"/>
      <c r="AH14" s="16"/>
    </row>
    <row r="15" spans="1:34" s="17" customFormat="1" ht="39.5" customHeight="1" x14ac:dyDescent="0.2">
      <c r="A15" s="321" t="s">
        <v>209</v>
      </c>
      <c r="B15" s="114" t="s">
        <v>167</v>
      </c>
      <c r="C15" s="277"/>
      <c r="D15" s="276"/>
      <c r="E15" s="142"/>
      <c r="F15" s="142"/>
      <c r="G15" s="142"/>
      <c r="H15" s="276"/>
      <c r="I15" s="111" t="s">
        <v>363</v>
      </c>
      <c r="J15" s="111" t="s">
        <v>363</v>
      </c>
      <c r="K15" s="111" t="s">
        <v>363</v>
      </c>
      <c r="L15" s="276"/>
      <c r="M15" s="111" t="s">
        <v>363</v>
      </c>
      <c r="N15" s="111" t="s">
        <v>363</v>
      </c>
      <c r="O15" s="111" t="s">
        <v>363</v>
      </c>
      <c r="P15" s="276"/>
      <c r="Q15" s="142"/>
      <c r="R15" s="142"/>
      <c r="S15" s="142"/>
      <c r="T15" s="276"/>
      <c r="U15" s="279" t="s">
        <v>30</v>
      </c>
      <c r="V15" s="116"/>
      <c r="W15" s="155">
        <f>3500000/500</f>
        <v>7000</v>
      </c>
      <c r="X15" s="152">
        <f t="shared" si="1"/>
        <v>3500000</v>
      </c>
      <c r="Y15" s="116"/>
      <c r="Z15" s="116"/>
      <c r="AA15" s="116"/>
      <c r="AB15" s="16"/>
      <c r="AC15" s="16"/>
      <c r="AD15" s="16"/>
      <c r="AE15" s="16"/>
      <c r="AF15" s="16"/>
      <c r="AG15" s="16"/>
      <c r="AH15" s="16"/>
    </row>
    <row r="16" spans="1:34" s="17" customFormat="1" ht="34" x14ac:dyDescent="0.2">
      <c r="A16" s="322"/>
      <c r="B16" s="18" t="s">
        <v>211</v>
      </c>
      <c r="C16" s="66"/>
      <c r="D16" s="276"/>
      <c r="E16" s="111" t="s">
        <v>363</v>
      </c>
      <c r="F16" s="111" t="s">
        <v>363</v>
      </c>
      <c r="G16" s="111" t="s">
        <v>363</v>
      </c>
      <c r="H16" s="276"/>
      <c r="I16" s="111" t="s">
        <v>363</v>
      </c>
      <c r="J16" s="111" t="s">
        <v>363</v>
      </c>
      <c r="K16" s="111" t="s">
        <v>363</v>
      </c>
      <c r="L16" s="276"/>
      <c r="M16" s="111" t="s">
        <v>363</v>
      </c>
      <c r="N16" s="111" t="s">
        <v>363</v>
      </c>
      <c r="O16" s="111" t="s">
        <v>363</v>
      </c>
      <c r="P16" s="276"/>
      <c r="Q16" s="111" t="s">
        <v>363</v>
      </c>
      <c r="R16" s="111" t="s">
        <v>363</v>
      </c>
      <c r="S16" s="111" t="s">
        <v>363</v>
      </c>
      <c r="T16" s="276"/>
      <c r="U16" s="97" t="s">
        <v>31</v>
      </c>
      <c r="V16" s="19"/>
      <c r="W16" s="78">
        <f>+(75000*12)/500</f>
        <v>1800</v>
      </c>
      <c r="X16" s="152">
        <f t="shared" si="1"/>
        <v>900000</v>
      </c>
      <c r="Y16" s="116"/>
      <c r="Z16" s="21"/>
      <c r="AA16" s="135"/>
      <c r="AB16" s="16"/>
      <c r="AC16" s="16"/>
      <c r="AD16" s="16"/>
      <c r="AE16" s="16"/>
      <c r="AF16" s="16"/>
      <c r="AG16" s="16"/>
      <c r="AH16" s="16"/>
    </row>
    <row r="17" spans="1:34" s="17" customFormat="1" ht="27.5" customHeight="1" x14ac:dyDescent="0.2">
      <c r="A17" s="322"/>
      <c r="B17" s="18" t="s">
        <v>32</v>
      </c>
      <c r="C17" s="66"/>
      <c r="D17" s="276"/>
      <c r="E17" s="111" t="s">
        <v>363</v>
      </c>
      <c r="F17" s="111" t="s">
        <v>363</v>
      </c>
      <c r="G17" s="111" t="s">
        <v>363</v>
      </c>
      <c r="H17" s="276"/>
      <c r="I17" s="111" t="s">
        <v>363</v>
      </c>
      <c r="J17" s="111" t="s">
        <v>363</v>
      </c>
      <c r="K17" s="111" t="s">
        <v>363</v>
      </c>
      <c r="L17" s="276"/>
      <c r="M17" s="111" t="s">
        <v>363</v>
      </c>
      <c r="N17" s="111" t="s">
        <v>363</v>
      </c>
      <c r="O17" s="111" t="s">
        <v>363</v>
      </c>
      <c r="P17" s="276"/>
      <c r="Q17" s="111" t="s">
        <v>363</v>
      </c>
      <c r="R17" s="111" t="s">
        <v>363</v>
      </c>
      <c r="S17" s="111" t="s">
        <v>363</v>
      </c>
      <c r="T17" s="276"/>
      <c r="U17" s="97" t="s">
        <v>33</v>
      </c>
      <c r="V17" s="19"/>
      <c r="W17" s="79">
        <f>1000000/500</f>
        <v>2000</v>
      </c>
      <c r="X17" s="152">
        <f t="shared" si="1"/>
        <v>1000000</v>
      </c>
      <c r="Y17" s="116"/>
      <c r="Z17" s="21"/>
      <c r="AA17" s="72"/>
      <c r="AB17" s="16"/>
      <c r="AC17" s="16"/>
      <c r="AD17" s="16"/>
      <c r="AE17" s="16"/>
      <c r="AF17" s="16"/>
      <c r="AG17" s="16"/>
      <c r="AH17" s="16"/>
    </row>
    <row r="18" spans="1:34" s="17" customFormat="1" ht="27.5" customHeight="1" x14ac:dyDescent="0.2">
      <c r="A18" s="322"/>
      <c r="B18" s="18" t="s">
        <v>339</v>
      </c>
      <c r="C18" s="66"/>
      <c r="D18" s="276"/>
      <c r="E18" s="111" t="s">
        <v>363</v>
      </c>
      <c r="F18" s="111" t="s">
        <v>363</v>
      </c>
      <c r="G18" s="111" t="s">
        <v>363</v>
      </c>
      <c r="H18" s="276"/>
      <c r="I18" s="111" t="s">
        <v>363</v>
      </c>
      <c r="J18" s="111" t="s">
        <v>363</v>
      </c>
      <c r="K18" s="111" t="s">
        <v>363</v>
      </c>
      <c r="L18" s="276"/>
      <c r="M18" s="111" t="s">
        <v>363</v>
      </c>
      <c r="N18" s="111" t="s">
        <v>363</v>
      </c>
      <c r="O18" s="111" t="s">
        <v>363</v>
      </c>
      <c r="P18" s="276"/>
      <c r="Q18" s="111" t="s">
        <v>363</v>
      </c>
      <c r="R18" s="111" t="s">
        <v>363</v>
      </c>
      <c r="S18" s="111" t="s">
        <v>363</v>
      </c>
      <c r="T18" s="276"/>
      <c r="U18" s="97" t="s">
        <v>340</v>
      </c>
      <c r="V18" s="19"/>
      <c r="W18" s="143">
        <f>+(500000*12)/500</f>
        <v>12000</v>
      </c>
      <c r="X18" s="152">
        <f t="shared" si="1"/>
        <v>6000000</v>
      </c>
      <c r="Y18" s="116"/>
      <c r="Z18" s="21"/>
      <c r="AA18" s="253"/>
      <c r="AB18" s="16"/>
      <c r="AC18" s="16"/>
      <c r="AD18" s="16"/>
      <c r="AE18" s="16"/>
      <c r="AF18" s="16"/>
      <c r="AG18" s="16"/>
      <c r="AH18" s="16"/>
    </row>
    <row r="19" spans="1:34" s="17" customFormat="1" ht="69.5" customHeight="1" x14ac:dyDescent="0.2">
      <c r="A19" s="323"/>
      <c r="B19" s="18" t="s">
        <v>169</v>
      </c>
      <c r="C19" s="65"/>
      <c r="D19" s="276"/>
      <c r="E19" s="111" t="s">
        <v>363</v>
      </c>
      <c r="F19" s="111" t="s">
        <v>363</v>
      </c>
      <c r="G19" s="111" t="s">
        <v>363</v>
      </c>
      <c r="H19" s="276"/>
      <c r="I19" s="111" t="s">
        <v>363</v>
      </c>
      <c r="J19" s="111" t="s">
        <v>363</v>
      </c>
      <c r="K19" s="111" t="s">
        <v>363</v>
      </c>
      <c r="L19" s="276"/>
      <c r="M19" s="111" t="s">
        <v>363</v>
      </c>
      <c r="N19" s="111" t="s">
        <v>363</v>
      </c>
      <c r="O19" s="111" t="s">
        <v>363</v>
      </c>
      <c r="P19" s="276"/>
      <c r="Q19" s="111" t="s">
        <v>363</v>
      </c>
      <c r="R19" s="111" t="s">
        <v>363</v>
      </c>
      <c r="S19" s="111" t="s">
        <v>363</v>
      </c>
      <c r="T19" s="276"/>
      <c r="U19" s="170" t="s">
        <v>34</v>
      </c>
      <c r="V19" s="19"/>
      <c r="W19" s="79">
        <f>10000000/500</f>
        <v>20000</v>
      </c>
      <c r="X19" s="152">
        <f t="shared" si="1"/>
        <v>10000000</v>
      </c>
      <c r="Y19" s="116"/>
      <c r="Z19" s="79"/>
      <c r="AA19" s="92" t="s">
        <v>25</v>
      </c>
      <c r="AB19" s="16"/>
      <c r="AC19" s="16"/>
      <c r="AD19" s="16"/>
      <c r="AE19" s="16"/>
      <c r="AF19" s="16"/>
      <c r="AG19" s="16"/>
      <c r="AH19" s="16"/>
    </row>
    <row r="20" spans="1:34" s="17" customFormat="1" ht="16" x14ac:dyDescent="0.2">
      <c r="A20" s="350" t="s">
        <v>208</v>
      </c>
      <c r="B20" s="23" t="s">
        <v>275</v>
      </c>
      <c r="C20" s="65"/>
      <c r="D20" s="276"/>
      <c r="E20" s="103"/>
      <c r="F20" s="103"/>
      <c r="G20" s="103"/>
      <c r="H20" s="276"/>
      <c r="I20" s="103"/>
      <c r="J20" s="103"/>
      <c r="K20" s="103"/>
      <c r="L20" s="276"/>
      <c r="M20" s="103"/>
      <c r="N20" s="103"/>
      <c r="O20" s="103"/>
      <c r="P20" s="276"/>
      <c r="Q20" s="111" t="s">
        <v>363</v>
      </c>
      <c r="R20" s="111" t="s">
        <v>363</v>
      </c>
      <c r="S20" s="111" t="s">
        <v>363</v>
      </c>
      <c r="T20" s="276"/>
      <c r="U20" s="97" t="s">
        <v>35</v>
      </c>
      <c r="V20" s="19"/>
      <c r="W20" s="79">
        <f>20400000/500</f>
        <v>40800</v>
      </c>
      <c r="X20" s="152">
        <f t="shared" si="1"/>
        <v>20400000</v>
      </c>
      <c r="Y20" s="116"/>
      <c r="Z20" s="20"/>
      <c r="AA20" s="321" t="s">
        <v>25</v>
      </c>
      <c r="AB20" s="16"/>
      <c r="AC20" s="16"/>
      <c r="AD20" s="16"/>
      <c r="AE20" s="16"/>
      <c r="AF20" s="16"/>
      <c r="AG20" s="16"/>
      <c r="AH20" s="16"/>
    </row>
    <row r="21" spans="1:34" s="17" customFormat="1" ht="30" x14ac:dyDescent="0.2">
      <c r="A21" s="345"/>
      <c r="B21" s="23" t="s">
        <v>170</v>
      </c>
      <c r="C21" s="65"/>
      <c r="D21" s="276"/>
      <c r="E21" s="111" t="s">
        <v>363</v>
      </c>
      <c r="F21" s="111" t="s">
        <v>363</v>
      </c>
      <c r="G21" s="111" t="s">
        <v>363</v>
      </c>
      <c r="H21" s="276"/>
      <c r="I21" s="111" t="s">
        <v>363</v>
      </c>
      <c r="J21" s="111" t="s">
        <v>363</v>
      </c>
      <c r="K21" s="111" t="s">
        <v>363</v>
      </c>
      <c r="L21" s="276"/>
      <c r="M21" s="111" t="s">
        <v>363</v>
      </c>
      <c r="N21" s="111" t="s">
        <v>363</v>
      </c>
      <c r="O21" s="111" t="s">
        <v>363</v>
      </c>
      <c r="P21" s="276"/>
      <c r="Q21" s="111" t="s">
        <v>363</v>
      </c>
      <c r="R21" s="111" t="s">
        <v>363</v>
      </c>
      <c r="S21" s="111" t="s">
        <v>363</v>
      </c>
      <c r="T21" s="276"/>
      <c r="U21" s="97" t="s">
        <v>35</v>
      </c>
      <c r="V21" s="19"/>
      <c r="W21" s="79">
        <f>13000000/500</f>
        <v>26000</v>
      </c>
      <c r="X21" s="152">
        <f t="shared" si="1"/>
        <v>13000000</v>
      </c>
      <c r="Y21" s="116"/>
      <c r="Z21" s="20"/>
      <c r="AA21" s="323"/>
      <c r="AB21" s="16"/>
      <c r="AC21" s="16"/>
      <c r="AD21" s="16"/>
      <c r="AE21" s="16"/>
      <c r="AF21" s="16"/>
      <c r="AG21" s="16"/>
      <c r="AH21" s="16"/>
    </row>
    <row r="22" spans="1:34" s="17" customFormat="1" ht="46.5" customHeight="1" x14ac:dyDescent="0.2">
      <c r="A22" s="350" t="s">
        <v>207</v>
      </c>
      <c r="B22" s="23" t="s">
        <v>36</v>
      </c>
      <c r="C22" s="65"/>
      <c r="D22" s="276"/>
      <c r="E22" s="103"/>
      <c r="F22" s="103"/>
      <c r="G22" s="103"/>
      <c r="H22" s="276"/>
      <c r="I22" s="103"/>
      <c r="J22" s="103"/>
      <c r="K22" s="103"/>
      <c r="L22" s="276"/>
      <c r="M22" s="111" t="s">
        <v>363</v>
      </c>
      <c r="N22" s="111" t="s">
        <v>363</v>
      </c>
      <c r="O22" s="111" t="s">
        <v>363</v>
      </c>
      <c r="P22" s="276"/>
      <c r="Q22" s="103"/>
      <c r="R22" s="103"/>
      <c r="S22" s="103"/>
      <c r="T22" s="276"/>
      <c r="U22" s="148" t="s">
        <v>181</v>
      </c>
      <c r="V22" s="19"/>
      <c r="W22" s="143">
        <f>3000000/500</f>
        <v>6000</v>
      </c>
      <c r="X22" s="152">
        <f t="shared" si="1"/>
        <v>3000000</v>
      </c>
      <c r="Y22" s="116"/>
      <c r="Z22" s="20"/>
      <c r="AA22" s="350" t="s">
        <v>25</v>
      </c>
      <c r="AB22" s="16"/>
      <c r="AC22" s="16"/>
      <c r="AD22" s="16"/>
      <c r="AE22" s="16"/>
      <c r="AF22" s="16"/>
      <c r="AG22" s="16"/>
      <c r="AH22" s="16"/>
    </row>
    <row r="23" spans="1:34" s="17" customFormat="1" ht="28.5" customHeight="1" x14ac:dyDescent="0.2">
      <c r="A23" s="344"/>
      <c r="B23" s="23" t="s">
        <v>276</v>
      </c>
      <c r="C23" s="65"/>
      <c r="D23" s="276"/>
      <c r="E23" s="103"/>
      <c r="F23" s="103"/>
      <c r="G23" s="103"/>
      <c r="H23" s="276"/>
      <c r="I23" s="103"/>
      <c r="J23" s="103"/>
      <c r="K23" s="103"/>
      <c r="L23" s="276"/>
      <c r="M23" s="111" t="s">
        <v>363</v>
      </c>
      <c r="N23" s="111" t="s">
        <v>363</v>
      </c>
      <c r="O23" s="111" t="s">
        <v>363</v>
      </c>
      <c r="P23" s="276"/>
      <c r="Q23" s="103"/>
      <c r="R23" s="103"/>
      <c r="S23" s="103"/>
      <c r="T23" s="276"/>
      <c r="U23" s="171" t="s">
        <v>182</v>
      </c>
      <c r="V23" s="19"/>
      <c r="W23" s="143">
        <f>5000000/500</f>
        <v>10000</v>
      </c>
      <c r="X23" s="152">
        <f t="shared" si="1"/>
        <v>5000000</v>
      </c>
      <c r="Y23" s="116"/>
      <c r="Z23" s="20"/>
      <c r="AA23" s="344"/>
      <c r="AB23" s="16"/>
      <c r="AC23" s="16"/>
      <c r="AD23" s="16"/>
      <c r="AE23" s="16"/>
      <c r="AF23" s="16"/>
      <c r="AG23" s="16"/>
      <c r="AH23" s="16"/>
    </row>
    <row r="24" spans="1:34" s="17" customFormat="1" ht="26.5" customHeight="1" x14ac:dyDescent="0.2">
      <c r="A24" s="344"/>
      <c r="B24" s="23" t="s">
        <v>168</v>
      </c>
      <c r="C24" s="65"/>
      <c r="D24" s="276"/>
      <c r="E24" s="103"/>
      <c r="F24" s="103"/>
      <c r="G24" s="103"/>
      <c r="H24" s="276"/>
      <c r="I24" s="103"/>
      <c r="J24" s="103"/>
      <c r="K24" s="103"/>
      <c r="L24" s="276"/>
      <c r="M24" s="111" t="s">
        <v>363</v>
      </c>
      <c r="N24" s="111" t="s">
        <v>363</v>
      </c>
      <c r="O24" s="111" t="s">
        <v>363</v>
      </c>
      <c r="P24" s="276"/>
      <c r="Q24" s="103"/>
      <c r="R24" s="103"/>
      <c r="S24" s="103"/>
      <c r="T24" s="276"/>
      <c r="U24" s="280" t="s">
        <v>183</v>
      </c>
      <c r="V24" s="19"/>
      <c r="W24" s="79">
        <f>45000000/500</f>
        <v>90000</v>
      </c>
      <c r="X24" s="152">
        <f t="shared" si="1"/>
        <v>45000000</v>
      </c>
      <c r="Y24" s="116"/>
      <c r="Z24" s="20"/>
      <c r="AA24" s="344"/>
      <c r="AB24" s="16"/>
      <c r="AC24" s="16"/>
      <c r="AD24" s="16"/>
      <c r="AE24" s="16"/>
      <c r="AF24" s="16"/>
      <c r="AG24" s="16"/>
      <c r="AH24" s="16"/>
    </row>
    <row r="25" spans="1:34" s="17" customFormat="1" ht="30" x14ac:dyDescent="0.2">
      <c r="A25" s="345"/>
      <c r="B25" s="23" t="s">
        <v>37</v>
      </c>
      <c r="C25" s="65"/>
      <c r="D25" s="276"/>
      <c r="E25" s="111" t="s">
        <v>363</v>
      </c>
      <c r="F25" s="111" t="s">
        <v>363</v>
      </c>
      <c r="G25" s="111" t="s">
        <v>363</v>
      </c>
      <c r="H25" s="276"/>
      <c r="I25" s="111" t="s">
        <v>363</v>
      </c>
      <c r="J25" s="111" t="s">
        <v>363</v>
      </c>
      <c r="K25" s="111" t="s">
        <v>363</v>
      </c>
      <c r="L25" s="276"/>
      <c r="M25" s="111" t="s">
        <v>363</v>
      </c>
      <c r="N25" s="111" t="s">
        <v>363</v>
      </c>
      <c r="O25" s="111" t="s">
        <v>363</v>
      </c>
      <c r="P25" s="276"/>
      <c r="Q25" s="111" t="s">
        <v>363</v>
      </c>
      <c r="R25" s="111" t="s">
        <v>363</v>
      </c>
      <c r="S25" s="111" t="s">
        <v>363</v>
      </c>
      <c r="T25" s="276"/>
      <c r="U25" s="97" t="s">
        <v>38</v>
      </c>
      <c r="V25" s="19"/>
      <c r="W25" s="78">
        <f>1500000/500</f>
        <v>3000</v>
      </c>
      <c r="X25" s="152">
        <f t="shared" si="1"/>
        <v>1500000</v>
      </c>
      <c r="Y25" s="116"/>
      <c r="Z25" s="20"/>
      <c r="AA25" s="345"/>
      <c r="AB25" s="16"/>
      <c r="AC25" s="16"/>
      <c r="AD25" s="16"/>
      <c r="AE25" s="16"/>
      <c r="AF25" s="16"/>
      <c r="AG25" s="16"/>
      <c r="AH25" s="16"/>
    </row>
    <row r="26" spans="1:34" s="17" customFormat="1" ht="21.5" customHeight="1" x14ac:dyDescent="0.2">
      <c r="A26" s="350" t="s">
        <v>206</v>
      </c>
      <c r="B26" s="24" t="s">
        <v>39</v>
      </c>
      <c r="C26" s="261"/>
      <c r="D26" s="276"/>
      <c r="E26" s="111" t="s">
        <v>363</v>
      </c>
      <c r="F26" s="111" t="s">
        <v>363</v>
      </c>
      <c r="G26" s="103"/>
      <c r="H26" s="276"/>
      <c r="I26" s="103"/>
      <c r="J26" s="103"/>
      <c r="K26" s="103"/>
      <c r="L26" s="276"/>
      <c r="M26" s="111" t="s">
        <v>363</v>
      </c>
      <c r="N26" s="111" t="s">
        <v>363</v>
      </c>
      <c r="O26" s="103"/>
      <c r="P26" s="276"/>
      <c r="Q26" s="103"/>
      <c r="R26" s="103"/>
      <c r="S26" s="103"/>
      <c r="T26" s="276"/>
      <c r="U26" s="97" t="s">
        <v>40</v>
      </c>
      <c r="V26" s="19"/>
      <c r="W26" s="79">
        <f>1000000/500</f>
        <v>2000</v>
      </c>
      <c r="X26" s="152">
        <f t="shared" si="1"/>
        <v>1000000</v>
      </c>
      <c r="Y26" s="116"/>
      <c r="Z26" s="20"/>
      <c r="AA26" s="95" t="s">
        <v>41</v>
      </c>
      <c r="AB26" s="16"/>
      <c r="AC26" s="16"/>
      <c r="AD26" s="16"/>
      <c r="AE26" s="16"/>
      <c r="AF26" s="16"/>
      <c r="AG26" s="16"/>
      <c r="AH26" s="16"/>
    </row>
    <row r="27" spans="1:34" s="17" customFormat="1" ht="21.5" customHeight="1" x14ac:dyDescent="0.2">
      <c r="A27" s="344"/>
      <c r="B27" s="24" t="s">
        <v>42</v>
      </c>
      <c r="C27" s="261"/>
      <c r="D27" s="276"/>
      <c r="E27" s="103"/>
      <c r="F27" s="111" t="s">
        <v>363</v>
      </c>
      <c r="G27" s="111" t="s">
        <v>363</v>
      </c>
      <c r="H27" s="276"/>
      <c r="I27" s="111" t="s">
        <v>363</v>
      </c>
      <c r="J27" s="111" t="s">
        <v>363</v>
      </c>
      <c r="K27" s="111" t="s">
        <v>363</v>
      </c>
      <c r="L27" s="276"/>
      <c r="M27" s="103"/>
      <c r="N27" s="103"/>
      <c r="O27" s="103"/>
      <c r="P27" s="276"/>
      <c r="Q27" s="103"/>
      <c r="R27" s="103"/>
      <c r="S27" s="103"/>
      <c r="T27" s="276"/>
      <c r="U27" s="97" t="s">
        <v>43</v>
      </c>
      <c r="V27" s="19"/>
      <c r="W27" s="79">
        <f>1650000/500</f>
        <v>3300</v>
      </c>
      <c r="X27" s="152">
        <f t="shared" si="1"/>
        <v>1650000</v>
      </c>
      <c r="Y27" s="116"/>
      <c r="Z27" s="20"/>
      <c r="AA27" s="95" t="s">
        <v>44</v>
      </c>
      <c r="AB27" s="16"/>
      <c r="AC27" s="16"/>
      <c r="AD27" s="16"/>
      <c r="AE27" s="16"/>
      <c r="AF27" s="16"/>
      <c r="AG27" s="16"/>
      <c r="AH27" s="16"/>
    </row>
    <row r="28" spans="1:34" s="17" customFormat="1" ht="37.25" customHeight="1" x14ac:dyDescent="0.2">
      <c r="A28" s="344"/>
      <c r="B28" s="24" t="s">
        <v>45</v>
      </c>
      <c r="C28" s="261"/>
      <c r="D28" s="276"/>
      <c r="E28" s="111" t="s">
        <v>363</v>
      </c>
      <c r="F28" s="111" t="s">
        <v>363</v>
      </c>
      <c r="G28" s="111" t="s">
        <v>363</v>
      </c>
      <c r="H28" s="276"/>
      <c r="I28" s="111" t="s">
        <v>363</v>
      </c>
      <c r="J28" s="111" t="s">
        <v>363</v>
      </c>
      <c r="K28" s="111" t="s">
        <v>363</v>
      </c>
      <c r="L28" s="276"/>
      <c r="M28" s="111" t="s">
        <v>363</v>
      </c>
      <c r="N28" s="111" t="s">
        <v>363</v>
      </c>
      <c r="O28" s="111" t="s">
        <v>363</v>
      </c>
      <c r="P28" s="276"/>
      <c r="Q28" s="111" t="s">
        <v>363</v>
      </c>
      <c r="R28" s="111" t="s">
        <v>363</v>
      </c>
      <c r="S28" s="111" t="s">
        <v>363</v>
      </c>
      <c r="T28" s="276"/>
      <c r="U28" s="97" t="s">
        <v>46</v>
      </c>
      <c r="V28" s="19"/>
      <c r="W28" s="78">
        <f>2000000/500</f>
        <v>4000</v>
      </c>
      <c r="X28" s="152">
        <f t="shared" si="1"/>
        <v>2000000</v>
      </c>
      <c r="Y28" s="116"/>
      <c r="Z28" s="20"/>
      <c r="AA28" s="95" t="s">
        <v>47</v>
      </c>
      <c r="AB28" s="16"/>
      <c r="AC28" s="16"/>
      <c r="AD28" s="16"/>
      <c r="AE28" s="16"/>
      <c r="AF28" s="16"/>
      <c r="AG28" s="16"/>
      <c r="AH28" s="16"/>
    </row>
    <row r="29" spans="1:34" s="17" customFormat="1" ht="45" x14ac:dyDescent="0.2">
      <c r="A29" s="350" t="s">
        <v>277</v>
      </c>
      <c r="B29" s="24" t="s">
        <v>159</v>
      </c>
      <c r="C29" s="261"/>
      <c r="D29" s="276"/>
      <c r="E29" s="110"/>
      <c r="F29" s="110"/>
      <c r="G29" s="111" t="s">
        <v>363</v>
      </c>
      <c r="H29" s="276"/>
      <c r="I29" s="110"/>
      <c r="J29" s="110"/>
      <c r="K29" s="294"/>
      <c r="L29" s="276"/>
      <c r="M29" s="110"/>
      <c r="N29" s="110"/>
      <c r="O29" s="111" t="s">
        <v>363</v>
      </c>
      <c r="P29" s="276"/>
      <c r="Q29" s="110"/>
      <c r="R29" s="110"/>
      <c r="S29" s="142"/>
      <c r="T29" s="276"/>
      <c r="U29" s="97" t="s">
        <v>160</v>
      </c>
      <c r="V29" s="19"/>
      <c r="W29" s="78">
        <f>1000000/500</f>
        <v>2000</v>
      </c>
      <c r="X29" s="152">
        <f t="shared" si="1"/>
        <v>1000000</v>
      </c>
      <c r="Y29" s="116"/>
      <c r="Z29" s="20"/>
      <c r="AA29" s="95" t="s">
        <v>48</v>
      </c>
      <c r="AB29" s="16"/>
      <c r="AC29" s="16"/>
      <c r="AD29" s="16"/>
      <c r="AE29" s="16"/>
      <c r="AF29" s="16"/>
      <c r="AG29" s="16"/>
      <c r="AH29" s="16"/>
    </row>
    <row r="30" spans="1:34" s="17" customFormat="1" ht="45" x14ac:dyDescent="0.2">
      <c r="A30" s="344"/>
      <c r="B30" s="24" t="s">
        <v>154</v>
      </c>
      <c r="C30" s="261"/>
      <c r="D30" s="276"/>
      <c r="E30" s="103"/>
      <c r="F30" s="103"/>
      <c r="G30" s="103"/>
      <c r="H30" s="276"/>
      <c r="I30" s="103"/>
      <c r="J30" s="103"/>
      <c r="K30" s="103"/>
      <c r="L30" s="276"/>
      <c r="M30" s="103"/>
      <c r="N30" s="103"/>
      <c r="O30" s="111" t="s">
        <v>363</v>
      </c>
      <c r="P30" s="276"/>
      <c r="Q30" s="104"/>
      <c r="R30" s="104"/>
      <c r="S30" s="142"/>
      <c r="T30" s="276"/>
      <c r="U30" s="97" t="s">
        <v>150</v>
      </c>
      <c r="V30" s="19"/>
      <c r="W30" s="143">
        <f>4000000/500</f>
        <v>8000</v>
      </c>
      <c r="X30" s="152">
        <f t="shared" si="1"/>
        <v>4000000</v>
      </c>
      <c r="Y30" s="116"/>
      <c r="Z30" s="20"/>
      <c r="AA30" s="95" t="s">
        <v>49</v>
      </c>
      <c r="AB30" s="16"/>
      <c r="AC30" s="16"/>
      <c r="AD30" s="16"/>
      <c r="AE30" s="16"/>
      <c r="AF30" s="16"/>
      <c r="AG30" s="16"/>
      <c r="AH30" s="16"/>
    </row>
    <row r="31" spans="1:34" s="17" customFormat="1" ht="30" x14ac:dyDescent="0.2">
      <c r="A31" s="350" t="s">
        <v>205</v>
      </c>
      <c r="B31" s="24" t="s">
        <v>50</v>
      </c>
      <c r="C31" s="261"/>
      <c r="D31" s="276"/>
      <c r="E31" s="111" t="s">
        <v>363</v>
      </c>
      <c r="F31" s="111" t="s">
        <v>363</v>
      </c>
      <c r="G31" s="111" t="s">
        <v>363</v>
      </c>
      <c r="H31" s="276"/>
      <c r="I31" s="111" t="s">
        <v>363</v>
      </c>
      <c r="J31" s="111" t="s">
        <v>363</v>
      </c>
      <c r="K31" s="111" t="s">
        <v>363</v>
      </c>
      <c r="L31" s="276"/>
      <c r="M31" s="111" t="s">
        <v>363</v>
      </c>
      <c r="N31" s="111" t="s">
        <v>363</v>
      </c>
      <c r="O31" s="111" t="s">
        <v>363</v>
      </c>
      <c r="P31" s="276"/>
      <c r="Q31" s="111" t="s">
        <v>363</v>
      </c>
      <c r="R31" s="111" t="s">
        <v>363</v>
      </c>
      <c r="S31" s="111" t="s">
        <v>363</v>
      </c>
      <c r="T31" s="276"/>
      <c r="U31" s="97" t="s">
        <v>51</v>
      </c>
      <c r="V31" s="19"/>
      <c r="W31" s="79">
        <f>3000000/500</f>
        <v>6000</v>
      </c>
      <c r="X31" s="152">
        <f t="shared" si="1"/>
        <v>3000000</v>
      </c>
      <c r="Y31" s="116"/>
      <c r="Z31" s="20"/>
      <c r="AA31" s="95" t="s">
        <v>47</v>
      </c>
      <c r="AB31" s="16"/>
      <c r="AC31" s="16"/>
      <c r="AD31" s="16"/>
      <c r="AE31" s="16"/>
      <c r="AF31" s="16"/>
      <c r="AG31" s="16"/>
      <c r="AH31" s="16"/>
    </row>
    <row r="32" spans="1:34" s="17" customFormat="1" ht="60" x14ac:dyDescent="0.2">
      <c r="A32" s="344"/>
      <c r="B32" s="24" t="s">
        <v>52</v>
      </c>
      <c r="C32" s="261"/>
      <c r="D32" s="276"/>
      <c r="E32" s="111" t="s">
        <v>363</v>
      </c>
      <c r="F32" s="111" t="s">
        <v>363</v>
      </c>
      <c r="G32" s="111" t="s">
        <v>363</v>
      </c>
      <c r="H32" s="276"/>
      <c r="I32" s="111" t="s">
        <v>363</v>
      </c>
      <c r="J32" s="111" t="s">
        <v>363</v>
      </c>
      <c r="K32" s="111" t="s">
        <v>363</v>
      </c>
      <c r="L32" s="276"/>
      <c r="M32" s="111" t="s">
        <v>363</v>
      </c>
      <c r="N32" s="111" t="s">
        <v>363</v>
      </c>
      <c r="O32" s="111" t="s">
        <v>363</v>
      </c>
      <c r="P32" s="276"/>
      <c r="Q32" s="111" t="s">
        <v>363</v>
      </c>
      <c r="R32" s="111" t="s">
        <v>363</v>
      </c>
      <c r="S32" s="111" t="s">
        <v>363</v>
      </c>
      <c r="T32" s="276"/>
      <c r="U32" s="97" t="s">
        <v>53</v>
      </c>
      <c r="V32" s="19"/>
      <c r="W32" s="79">
        <f>11000000/500</f>
        <v>22000</v>
      </c>
      <c r="X32" s="152">
        <f t="shared" si="1"/>
        <v>11000000</v>
      </c>
      <c r="Y32" s="116"/>
      <c r="Z32" s="20"/>
      <c r="AA32" s="350" t="s">
        <v>47</v>
      </c>
      <c r="AB32" s="16"/>
      <c r="AC32" s="16"/>
      <c r="AD32" s="16"/>
      <c r="AE32" s="16"/>
      <c r="AF32" s="16"/>
      <c r="AG32" s="16"/>
      <c r="AH32" s="16"/>
    </row>
    <row r="33" spans="1:34" s="17" customFormat="1" ht="25" customHeight="1" x14ac:dyDescent="0.2">
      <c r="A33" s="344"/>
      <c r="B33" s="24" t="s">
        <v>161</v>
      </c>
      <c r="C33" s="261"/>
      <c r="D33" s="276"/>
      <c r="E33" s="111" t="s">
        <v>363</v>
      </c>
      <c r="F33" s="111" t="s">
        <v>363</v>
      </c>
      <c r="G33" s="111" t="s">
        <v>363</v>
      </c>
      <c r="H33" s="276"/>
      <c r="I33" s="111" t="s">
        <v>363</v>
      </c>
      <c r="J33" s="111" t="s">
        <v>363</v>
      </c>
      <c r="K33" s="111" t="s">
        <v>363</v>
      </c>
      <c r="L33" s="276"/>
      <c r="M33" s="111" t="s">
        <v>363</v>
      </c>
      <c r="N33" s="111" t="s">
        <v>363</v>
      </c>
      <c r="O33" s="111" t="s">
        <v>363</v>
      </c>
      <c r="P33" s="276"/>
      <c r="Q33" s="111" t="s">
        <v>363</v>
      </c>
      <c r="R33" s="111" t="s">
        <v>363</v>
      </c>
      <c r="S33" s="111" t="s">
        <v>363</v>
      </c>
      <c r="T33" s="276"/>
      <c r="U33" s="97"/>
      <c r="V33" s="19"/>
      <c r="W33" s="79">
        <f>3500000/500</f>
        <v>7000</v>
      </c>
      <c r="X33" s="152">
        <f t="shared" si="1"/>
        <v>3500000</v>
      </c>
      <c r="Y33" s="116"/>
      <c r="Z33" s="20"/>
      <c r="AA33" s="344"/>
      <c r="AB33" s="16"/>
      <c r="AC33" s="16"/>
      <c r="AD33" s="16"/>
      <c r="AE33" s="16"/>
      <c r="AF33" s="16"/>
      <c r="AG33" s="16"/>
      <c r="AH33" s="16"/>
    </row>
    <row r="34" spans="1:34" s="17" customFormat="1" ht="44.5" customHeight="1" x14ac:dyDescent="0.2">
      <c r="A34" s="345"/>
      <c r="B34" s="24" t="s">
        <v>54</v>
      </c>
      <c r="C34" s="261"/>
      <c r="D34" s="276"/>
      <c r="E34" s="111" t="s">
        <v>363</v>
      </c>
      <c r="F34" s="111" t="s">
        <v>363</v>
      </c>
      <c r="G34" s="111" t="s">
        <v>363</v>
      </c>
      <c r="H34" s="276"/>
      <c r="I34" s="111" t="s">
        <v>363</v>
      </c>
      <c r="J34" s="111" t="s">
        <v>363</v>
      </c>
      <c r="K34" s="111" t="s">
        <v>363</v>
      </c>
      <c r="L34" s="276"/>
      <c r="M34" s="111" t="s">
        <v>363</v>
      </c>
      <c r="N34" s="111" t="s">
        <v>363</v>
      </c>
      <c r="O34" s="111" t="s">
        <v>363</v>
      </c>
      <c r="P34" s="276"/>
      <c r="Q34" s="111" t="s">
        <v>363</v>
      </c>
      <c r="R34" s="111" t="s">
        <v>363</v>
      </c>
      <c r="S34" s="111" t="s">
        <v>363</v>
      </c>
      <c r="T34" s="276"/>
      <c r="U34" s="97" t="s">
        <v>55</v>
      </c>
      <c r="V34" s="19"/>
      <c r="W34" s="79">
        <f>3000000/500</f>
        <v>6000</v>
      </c>
      <c r="X34" s="152">
        <f t="shared" si="1"/>
        <v>3000000</v>
      </c>
      <c r="Y34" s="116"/>
      <c r="Z34" s="20"/>
      <c r="AA34" s="345"/>
      <c r="AB34" s="16"/>
      <c r="AC34" s="16"/>
      <c r="AD34" s="16"/>
      <c r="AE34" s="16"/>
      <c r="AF34" s="16"/>
      <c r="AG34" s="16"/>
      <c r="AH34" s="16"/>
    </row>
    <row r="35" spans="1:34" x14ac:dyDescent="0.15">
      <c r="A35" s="75" t="s">
        <v>56</v>
      </c>
      <c r="B35" s="26"/>
      <c r="C35" s="26"/>
      <c r="D35" s="10"/>
      <c r="E35" s="101"/>
      <c r="F35" s="101"/>
      <c r="G35" s="101"/>
      <c r="H35" s="101"/>
      <c r="I35" s="101"/>
      <c r="J35" s="101"/>
      <c r="K35" s="101"/>
      <c r="L35" s="101"/>
      <c r="M35" s="101"/>
      <c r="N35" s="101"/>
      <c r="O35" s="101"/>
      <c r="P35" s="101"/>
      <c r="Q35" s="101"/>
      <c r="R35" s="101"/>
      <c r="S35" s="101"/>
      <c r="T35" s="101"/>
      <c r="U35" s="57"/>
      <c r="V35" s="10"/>
      <c r="W35" s="153">
        <f>+W36+W38+W47+W59+W61+W66+W70</f>
        <v>528944.53846153826</v>
      </c>
      <c r="X35" s="153">
        <f>+W35*500</f>
        <v>264472269.23076913</v>
      </c>
      <c r="Y35" s="316">
        <f>+Y36+Y38+Y47+Y59+Y61+Y66+Y70</f>
        <v>15000</v>
      </c>
      <c r="Z35" s="28"/>
      <c r="AA35" s="10"/>
    </row>
    <row r="36" spans="1:34" x14ac:dyDescent="0.15">
      <c r="A36" s="76" t="s">
        <v>57</v>
      </c>
      <c r="B36" s="29"/>
      <c r="C36" s="29"/>
      <c r="D36" s="30"/>
      <c r="E36" s="105"/>
      <c r="F36" s="105"/>
      <c r="G36" s="105"/>
      <c r="H36" s="105"/>
      <c r="I36" s="105"/>
      <c r="J36" s="105"/>
      <c r="K36" s="105"/>
      <c r="L36" s="105"/>
      <c r="M36" s="105"/>
      <c r="N36" s="105"/>
      <c r="O36" s="105"/>
      <c r="P36" s="105"/>
      <c r="Q36" s="105"/>
      <c r="R36" s="105"/>
      <c r="S36" s="105"/>
      <c r="T36" s="105"/>
      <c r="U36" s="138"/>
      <c r="V36" s="30"/>
      <c r="W36" s="156">
        <f>+SUM(W37:W37)</f>
        <v>50000</v>
      </c>
      <c r="X36" s="156">
        <f>+W36*500</f>
        <v>25000000</v>
      </c>
      <c r="Y36" s="32"/>
      <c r="Z36" s="32"/>
      <c r="AA36" s="30"/>
    </row>
    <row r="37" spans="1:34" ht="45" x14ac:dyDescent="0.2">
      <c r="A37" s="72" t="s">
        <v>204</v>
      </c>
      <c r="B37" s="23" t="s">
        <v>341</v>
      </c>
      <c r="C37" s="65"/>
      <c r="D37" s="276"/>
      <c r="E37" s="111" t="s">
        <v>363</v>
      </c>
      <c r="F37" s="111" t="s">
        <v>363</v>
      </c>
      <c r="G37" s="111" t="s">
        <v>363</v>
      </c>
      <c r="H37" s="276"/>
      <c r="I37" s="111" t="s">
        <v>363</v>
      </c>
      <c r="J37" s="111" t="s">
        <v>363</v>
      </c>
      <c r="K37" s="111" t="s">
        <v>363</v>
      </c>
      <c r="L37" s="276"/>
      <c r="M37" s="111" t="s">
        <v>363</v>
      </c>
      <c r="N37" s="111" t="s">
        <v>363</v>
      </c>
      <c r="O37" s="111" t="s">
        <v>363</v>
      </c>
      <c r="P37" s="276"/>
      <c r="Q37" s="111" t="s">
        <v>363</v>
      </c>
      <c r="R37" s="111" t="s">
        <v>363</v>
      </c>
      <c r="S37" s="111" t="s">
        <v>363</v>
      </c>
      <c r="T37" s="276"/>
      <c r="U37" s="281"/>
      <c r="V37" s="33"/>
      <c r="W37" s="79">
        <f>25000000/500</f>
        <v>50000</v>
      </c>
      <c r="X37" s="79">
        <f>+W37*500</f>
        <v>25000000</v>
      </c>
      <c r="Y37" s="116"/>
      <c r="Z37" s="34"/>
      <c r="AA37" s="239"/>
    </row>
    <row r="38" spans="1:34" x14ac:dyDescent="0.15">
      <c r="A38" s="76" t="s">
        <v>58</v>
      </c>
      <c r="B38" s="29"/>
      <c r="C38" s="29"/>
      <c r="D38" s="30"/>
      <c r="E38" s="30"/>
      <c r="F38" s="30"/>
      <c r="G38" s="30"/>
      <c r="H38" s="30"/>
      <c r="I38" s="30"/>
      <c r="J38" s="30"/>
      <c r="K38" s="30"/>
      <c r="L38" s="30"/>
      <c r="M38" s="30"/>
      <c r="N38" s="30"/>
      <c r="O38" s="30"/>
      <c r="P38" s="30"/>
      <c r="Q38" s="30"/>
      <c r="R38" s="30"/>
      <c r="S38" s="30"/>
      <c r="T38" s="30"/>
      <c r="U38" s="138"/>
      <c r="V38" s="30"/>
      <c r="W38" s="156">
        <f>+SUM(W39:W45)</f>
        <v>79000</v>
      </c>
      <c r="X38" s="156">
        <f>+W38*500</f>
        <v>39500000</v>
      </c>
      <c r="Y38" s="32"/>
      <c r="Z38" s="32"/>
      <c r="AA38" s="30"/>
    </row>
    <row r="39" spans="1:34" ht="45" x14ac:dyDescent="0.2">
      <c r="A39" s="355" t="s">
        <v>343</v>
      </c>
      <c r="B39" s="23" t="s">
        <v>60</v>
      </c>
      <c r="C39" s="16"/>
      <c r="D39" s="276"/>
      <c r="E39" s="111" t="s">
        <v>363</v>
      </c>
      <c r="F39" s="111" t="s">
        <v>363</v>
      </c>
      <c r="G39" s="111" t="s">
        <v>363</v>
      </c>
      <c r="H39" s="276"/>
      <c r="I39" s="111" t="s">
        <v>363</v>
      </c>
      <c r="J39" s="111" t="s">
        <v>363</v>
      </c>
      <c r="K39" s="111" t="s">
        <v>363</v>
      </c>
      <c r="L39" s="276"/>
      <c r="M39" s="45"/>
      <c r="N39" s="45"/>
      <c r="O39" s="45"/>
      <c r="P39" s="276"/>
      <c r="Q39" s="45"/>
      <c r="R39" s="45"/>
      <c r="S39" s="45"/>
      <c r="T39" s="276"/>
      <c r="U39" s="98" t="s">
        <v>298</v>
      </c>
      <c r="V39" s="254"/>
      <c r="W39" s="319">
        <f>500000/500</f>
        <v>1000</v>
      </c>
      <c r="X39" s="319">
        <f>+W39*500</f>
        <v>500000</v>
      </c>
      <c r="Y39" s="116"/>
      <c r="Z39" s="4"/>
      <c r="AA39" s="73" t="s">
        <v>59</v>
      </c>
    </row>
    <row r="40" spans="1:34" ht="30" x14ac:dyDescent="0.2">
      <c r="A40" s="356"/>
      <c r="B40" s="23" t="s">
        <v>342</v>
      </c>
      <c r="C40" s="65"/>
      <c r="D40" s="276"/>
      <c r="E40" s="111" t="s">
        <v>363</v>
      </c>
      <c r="F40" s="111" t="s">
        <v>363</v>
      </c>
      <c r="G40" s="111" t="s">
        <v>363</v>
      </c>
      <c r="H40" s="276"/>
      <c r="I40" s="111" t="s">
        <v>363</v>
      </c>
      <c r="J40" s="111" t="s">
        <v>363</v>
      </c>
      <c r="K40" s="111" t="s">
        <v>363</v>
      </c>
      <c r="L40" s="276"/>
      <c r="M40" s="45"/>
      <c r="N40" s="45"/>
      <c r="O40" s="45"/>
      <c r="P40" s="276"/>
      <c r="Q40" s="45"/>
      <c r="R40" s="45"/>
      <c r="S40" s="45"/>
      <c r="T40" s="276"/>
      <c r="U40" s="140" t="s">
        <v>61</v>
      </c>
      <c r="V40" s="1"/>
      <c r="W40" s="320"/>
      <c r="X40" s="320"/>
      <c r="Y40" s="116"/>
      <c r="Z40" s="4"/>
      <c r="AA40" s="139"/>
    </row>
    <row r="41" spans="1:34" ht="22.25" customHeight="1" x14ac:dyDescent="0.2">
      <c r="A41" s="355" t="s">
        <v>344</v>
      </c>
      <c r="B41" s="23" t="s">
        <v>62</v>
      </c>
      <c r="C41" s="65"/>
      <c r="D41" s="276"/>
      <c r="E41" s="45"/>
      <c r="F41" s="45"/>
      <c r="G41" s="45"/>
      <c r="H41" s="276"/>
      <c r="I41" s="45"/>
      <c r="J41" s="45"/>
      <c r="K41" s="111" t="s">
        <v>363</v>
      </c>
      <c r="L41" s="276"/>
      <c r="M41" s="111" t="s">
        <v>363</v>
      </c>
      <c r="N41" s="111" t="s">
        <v>363</v>
      </c>
      <c r="O41" s="111" t="s">
        <v>363</v>
      </c>
      <c r="P41" s="276"/>
      <c r="Q41" s="45"/>
      <c r="R41" s="45"/>
      <c r="S41" s="45"/>
      <c r="T41" s="276"/>
      <c r="U41" s="140" t="s">
        <v>63</v>
      </c>
      <c r="V41" s="1"/>
      <c r="W41" s="319">
        <v>8000</v>
      </c>
      <c r="X41" s="319">
        <f>+W41*500</f>
        <v>4000000</v>
      </c>
      <c r="Y41" s="116"/>
      <c r="Z41" s="4"/>
      <c r="AA41" s="139"/>
    </row>
    <row r="42" spans="1:34" ht="18.5" customHeight="1" x14ac:dyDescent="0.2">
      <c r="A42" s="356"/>
      <c r="B42" s="23" t="s">
        <v>64</v>
      </c>
      <c r="C42" s="65"/>
      <c r="D42" s="276"/>
      <c r="E42" s="45"/>
      <c r="F42" s="45"/>
      <c r="G42" s="45"/>
      <c r="H42" s="276"/>
      <c r="I42" s="45"/>
      <c r="J42" s="45"/>
      <c r="K42" s="111" t="s">
        <v>363</v>
      </c>
      <c r="L42" s="276"/>
      <c r="M42" s="111" t="s">
        <v>363</v>
      </c>
      <c r="N42" s="111" t="s">
        <v>363</v>
      </c>
      <c r="O42" s="111" t="s">
        <v>363</v>
      </c>
      <c r="P42" s="276"/>
      <c r="Q42" s="45"/>
      <c r="R42" s="45"/>
      <c r="S42" s="45"/>
      <c r="T42" s="276"/>
      <c r="U42" s="140" t="s">
        <v>64</v>
      </c>
      <c r="V42" s="1"/>
      <c r="W42" s="320"/>
      <c r="X42" s="320"/>
      <c r="Y42" s="116"/>
      <c r="Z42" s="4"/>
      <c r="AA42" s="139"/>
    </row>
    <row r="43" spans="1:34" ht="45" x14ac:dyDescent="0.2">
      <c r="A43" s="135" t="s">
        <v>345</v>
      </c>
      <c r="B43" s="23" t="s">
        <v>346</v>
      </c>
      <c r="C43" s="65"/>
      <c r="D43" s="276"/>
      <c r="E43" s="111" t="s">
        <v>363</v>
      </c>
      <c r="F43" s="111" t="s">
        <v>363</v>
      </c>
      <c r="G43" s="111" t="s">
        <v>363</v>
      </c>
      <c r="H43" s="276"/>
      <c r="I43" s="111" t="s">
        <v>363</v>
      </c>
      <c r="J43" s="111" t="s">
        <v>363</v>
      </c>
      <c r="K43" s="111" t="s">
        <v>363</v>
      </c>
      <c r="L43" s="276"/>
      <c r="M43" s="111" t="s">
        <v>363</v>
      </c>
      <c r="N43" s="111" t="s">
        <v>363</v>
      </c>
      <c r="O43" s="111" t="s">
        <v>363</v>
      </c>
      <c r="P43" s="276"/>
      <c r="Q43" s="111" t="s">
        <v>363</v>
      </c>
      <c r="R43" s="111" t="s">
        <v>363</v>
      </c>
      <c r="S43" s="111" t="s">
        <v>363</v>
      </c>
      <c r="T43" s="276"/>
      <c r="U43" s="140" t="s">
        <v>65</v>
      </c>
      <c r="V43" s="1"/>
      <c r="W43" s="78">
        <f>20000000/500</f>
        <v>40000</v>
      </c>
      <c r="X43" s="78">
        <f t="shared" ref="X43:X45" si="2">+W43*500</f>
        <v>20000000</v>
      </c>
      <c r="Y43" s="116"/>
      <c r="Z43" s="4"/>
      <c r="AA43" s="139"/>
    </row>
    <row r="44" spans="1:34" ht="30" x14ac:dyDescent="0.2">
      <c r="A44" s="350" t="s">
        <v>203</v>
      </c>
      <c r="B44" s="23" t="s">
        <v>66</v>
      </c>
      <c r="C44" s="65"/>
      <c r="D44" s="276"/>
      <c r="E44" s="111" t="s">
        <v>363</v>
      </c>
      <c r="F44" s="111" t="s">
        <v>363</v>
      </c>
      <c r="G44" s="111" t="s">
        <v>363</v>
      </c>
      <c r="H44" s="276"/>
      <c r="I44" s="111" t="s">
        <v>363</v>
      </c>
      <c r="J44" s="111" t="s">
        <v>363</v>
      </c>
      <c r="K44" s="111" t="s">
        <v>363</v>
      </c>
      <c r="L44" s="276"/>
      <c r="M44" s="111" t="s">
        <v>363</v>
      </c>
      <c r="N44" s="111" t="s">
        <v>363</v>
      </c>
      <c r="O44" s="111" t="s">
        <v>363</v>
      </c>
      <c r="P44" s="276"/>
      <c r="Q44" s="111" t="s">
        <v>363</v>
      </c>
      <c r="R44" s="111" t="s">
        <v>363</v>
      </c>
      <c r="S44" s="111" t="s">
        <v>363</v>
      </c>
      <c r="T44" s="276"/>
      <c r="U44" s="282" t="s">
        <v>151</v>
      </c>
      <c r="V44" s="1"/>
      <c r="W44" s="78">
        <v>0</v>
      </c>
      <c r="X44" s="78">
        <f t="shared" si="2"/>
        <v>0</v>
      </c>
      <c r="Y44" s="116"/>
      <c r="Z44" s="4"/>
      <c r="AA44" s="364" t="s">
        <v>25</v>
      </c>
    </row>
    <row r="45" spans="1:34" ht="30" x14ac:dyDescent="0.2">
      <c r="A45" s="344"/>
      <c r="B45" s="172" t="s">
        <v>347</v>
      </c>
      <c r="C45" s="262"/>
      <c r="D45" s="276"/>
      <c r="E45" s="111" t="s">
        <v>363</v>
      </c>
      <c r="F45" s="111" t="s">
        <v>363</v>
      </c>
      <c r="G45" s="111" t="s">
        <v>363</v>
      </c>
      <c r="H45" s="276"/>
      <c r="I45" s="111" t="s">
        <v>363</v>
      </c>
      <c r="J45" s="111" t="s">
        <v>363</v>
      </c>
      <c r="K45" s="111" t="s">
        <v>363</v>
      </c>
      <c r="L45" s="276"/>
      <c r="M45" s="111" t="s">
        <v>363</v>
      </c>
      <c r="N45" s="111" t="s">
        <v>363</v>
      </c>
      <c r="O45" s="111" t="s">
        <v>363</v>
      </c>
      <c r="P45" s="276"/>
      <c r="Q45" s="111" t="s">
        <v>363</v>
      </c>
      <c r="R45" s="111" t="s">
        <v>363</v>
      </c>
      <c r="S45" s="111" t="s">
        <v>363</v>
      </c>
      <c r="T45" s="276"/>
      <c r="U45" s="283" t="s">
        <v>299</v>
      </c>
      <c r="V45" s="1"/>
      <c r="W45" s="361">
        <f>15000000/500</f>
        <v>30000</v>
      </c>
      <c r="X45" s="319">
        <f t="shared" si="2"/>
        <v>15000000</v>
      </c>
      <c r="Y45" s="116"/>
      <c r="Z45" s="4"/>
      <c r="AA45" s="365"/>
    </row>
    <row r="46" spans="1:34" ht="30" x14ac:dyDescent="0.2">
      <c r="A46" s="345"/>
      <c r="B46" s="23" t="s">
        <v>212</v>
      </c>
      <c r="C46" s="65"/>
      <c r="D46" s="276"/>
      <c r="E46" s="111" t="s">
        <v>363</v>
      </c>
      <c r="F46" s="111" t="s">
        <v>363</v>
      </c>
      <c r="G46" s="111" t="s">
        <v>363</v>
      </c>
      <c r="H46" s="276"/>
      <c r="I46" s="111" t="s">
        <v>363</v>
      </c>
      <c r="J46" s="111" t="s">
        <v>363</v>
      </c>
      <c r="K46" s="111" t="s">
        <v>363</v>
      </c>
      <c r="L46" s="276"/>
      <c r="M46" s="111" t="s">
        <v>363</v>
      </c>
      <c r="N46" s="111" t="s">
        <v>363</v>
      </c>
      <c r="O46" s="111" t="s">
        <v>363</v>
      </c>
      <c r="P46" s="276"/>
      <c r="Q46" s="111" t="s">
        <v>363</v>
      </c>
      <c r="R46" s="111" t="s">
        <v>363</v>
      </c>
      <c r="S46" s="111" t="s">
        <v>363</v>
      </c>
      <c r="T46" s="276"/>
      <c r="U46" s="282" t="s">
        <v>155</v>
      </c>
      <c r="V46" s="1"/>
      <c r="W46" s="362"/>
      <c r="X46" s="320"/>
      <c r="Y46" s="116"/>
      <c r="Z46" s="4"/>
      <c r="AA46" s="366"/>
    </row>
    <row r="47" spans="1:34" ht="32.5" customHeight="1" x14ac:dyDescent="0.15">
      <c r="A47" s="151" t="s">
        <v>213</v>
      </c>
      <c r="B47" s="35"/>
      <c r="C47" s="35"/>
      <c r="D47" s="30"/>
      <c r="E47" s="30"/>
      <c r="F47" s="30"/>
      <c r="G47" s="30"/>
      <c r="H47" s="30"/>
      <c r="I47" s="30"/>
      <c r="J47" s="30"/>
      <c r="K47" s="30"/>
      <c r="L47" s="30"/>
      <c r="M47" s="30"/>
      <c r="N47" s="30"/>
      <c r="O47" s="30"/>
      <c r="P47" s="30"/>
      <c r="Q47" s="30"/>
      <c r="R47" s="30"/>
      <c r="S47" s="30"/>
      <c r="T47" s="30"/>
      <c r="U47" s="138"/>
      <c r="V47" s="30"/>
      <c r="W47" s="173">
        <f>+SUM(W48:W58)</f>
        <v>151961.53846153832</v>
      </c>
      <c r="X47" s="173">
        <f>+W47*500</f>
        <v>75980769.230769157</v>
      </c>
      <c r="Y47" s="32"/>
      <c r="Z47" s="32"/>
      <c r="AA47" s="30"/>
    </row>
    <row r="48" spans="1:34" ht="30" x14ac:dyDescent="0.2">
      <c r="A48" s="350" t="s">
        <v>202</v>
      </c>
      <c r="B48" s="23" t="s">
        <v>67</v>
      </c>
      <c r="C48" s="66"/>
      <c r="D48" s="276"/>
      <c r="E48" s="33"/>
      <c r="F48" s="33"/>
      <c r="G48" s="33"/>
      <c r="H48" s="276"/>
      <c r="I48" s="111" t="s">
        <v>363</v>
      </c>
      <c r="J48" s="33"/>
      <c r="K48" s="33"/>
      <c r="L48" s="276"/>
      <c r="M48" s="33"/>
      <c r="N48" s="33"/>
      <c r="O48" s="33"/>
      <c r="P48" s="276"/>
      <c r="Q48" s="33"/>
      <c r="R48" s="33"/>
      <c r="S48" s="33"/>
      <c r="T48" s="276"/>
      <c r="U48" s="97" t="s">
        <v>68</v>
      </c>
      <c r="V48" s="33"/>
      <c r="W48" s="79">
        <v>500</v>
      </c>
      <c r="X48" s="79">
        <f>+W48*500</f>
        <v>250000</v>
      </c>
      <c r="Y48" s="116"/>
      <c r="Z48" s="34"/>
      <c r="AA48" s="364" t="s">
        <v>25</v>
      </c>
    </row>
    <row r="49" spans="1:34" ht="16" x14ac:dyDescent="0.2">
      <c r="A49" s="344"/>
      <c r="B49" s="23" t="s">
        <v>69</v>
      </c>
      <c r="C49" s="66"/>
      <c r="D49" s="276"/>
      <c r="E49" s="33"/>
      <c r="F49" s="33"/>
      <c r="G49" s="33"/>
      <c r="H49" s="276"/>
      <c r="I49" s="33"/>
      <c r="J49" s="112"/>
      <c r="K49" s="112"/>
      <c r="L49" s="276"/>
      <c r="M49" s="33"/>
      <c r="N49" s="33"/>
      <c r="O49" s="33"/>
      <c r="P49" s="276"/>
      <c r="Q49" s="33"/>
      <c r="R49" s="33"/>
      <c r="S49" s="33"/>
      <c r="T49" s="276"/>
      <c r="U49" s="97" t="s">
        <v>70</v>
      </c>
      <c r="V49" s="33"/>
      <c r="W49" s="78">
        <v>0</v>
      </c>
      <c r="X49" s="79">
        <f t="shared" ref="X49:X58" si="3">+W49*500</f>
        <v>0</v>
      </c>
      <c r="Y49" s="116"/>
      <c r="Z49" s="34"/>
      <c r="AA49" s="365"/>
    </row>
    <row r="50" spans="1:34" ht="16" x14ac:dyDescent="0.2">
      <c r="A50" s="344"/>
      <c r="B50" s="23" t="s">
        <v>71</v>
      </c>
      <c r="C50" s="66"/>
      <c r="D50" s="276"/>
      <c r="E50" s="33"/>
      <c r="F50" s="33"/>
      <c r="G50" s="33"/>
      <c r="H50" s="276"/>
      <c r="I50" s="33"/>
      <c r="J50" s="33"/>
      <c r="K50" s="33"/>
      <c r="L50" s="276"/>
      <c r="M50" s="295" t="s">
        <v>363</v>
      </c>
      <c r="N50" s="33"/>
      <c r="O50" s="33"/>
      <c r="P50" s="276"/>
      <c r="Q50" s="33"/>
      <c r="R50" s="33"/>
      <c r="S50" s="33"/>
      <c r="T50" s="276"/>
      <c r="U50" s="97" t="s">
        <v>72</v>
      </c>
      <c r="V50" s="33"/>
      <c r="W50" s="78">
        <v>0</v>
      </c>
      <c r="X50" s="79">
        <f t="shared" si="3"/>
        <v>0</v>
      </c>
      <c r="Y50" s="116"/>
      <c r="Z50" s="34"/>
      <c r="AA50" s="365"/>
    </row>
    <row r="51" spans="1:34" ht="36" customHeight="1" x14ac:dyDescent="0.2">
      <c r="A51" s="344"/>
      <c r="B51" s="95" t="s">
        <v>73</v>
      </c>
      <c r="C51" s="144"/>
      <c r="D51" s="276"/>
      <c r="E51" s="33"/>
      <c r="F51" s="33"/>
      <c r="G51" s="33"/>
      <c r="H51" s="276"/>
      <c r="I51" s="33"/>
      <c r="J51" s="33"/>
      <c r="K51" s="33"/>
      <c r="L51" s="276"/>
      <c r="M51" s="111" t="s">
        <v>363</v>
      </c>
      <c r="N51" s="33"/>
      <c r="O51" s="33"/>
      <c r="P51" s="276"/>
      <c r="Q51" s="33"/>
      <c r="R51" s="33"/>
      <c r="S51" s="33"/>
      <c r="T51" s="276"/>
      <c r="U51" s="97" t="s">
        <v>74</v>
      </c>
      <c r="V51" s="33"/>
      <c r="W51" s="78">
        <f>15000000/500</f>
        <v>30000</v>
      </c>
      <c r="X51" s="79">
        <f t="shared" si="3"/>
        <v>15000000</v>
      </c>
      <c r="Y51" s="116"/>
      <c r="Z51" s="34"/>
      <c r="AA51" s="365"/>
    </row>
    <row r="52" spans="1:34" ht="16" x14ac:dyDescent="0.2">
      <c r="A52" s="345"/>
      <c r="B52" s="77" t="s">
        <v>75</v>
      </c>
      <c r="C52" s="232"/>
      <c r="D52" s="276"/>
      <c r="E52" s="33"/>
      <c r="F52" s="33"/>
      <c r="G52" s="33"/>
      <c r="H52" s="276"/>
      <c r="I52" s="33"/>
      <c r="J52" s="33"/>
      <c r="K52" s="33"/>
      <c r="L52" s="276"/>
      <c r="M52" s="33"/>
      <c r="N52" s="112" t="s">
        <v>363</v>
      </c>
      <c r="O52" s="33"/>
      <c r="P52" s="276"/>
      <c r="Q52" s="33"/>
      <c r="R52" s="33"/>
      <c r="S52" s="33"/>
      <c r="T52" s="276"/>
      <c r="U52" s="97" t="s">
        <v>76</v>
      </c>
      <c r="V52" s="33"/>
      <c r="W52" s="78">
        <v>0</v>
      </c>
      <c r="X52" s="79">
        <f t="shared" si="3"/>
        <v>0</v>
      </c>
      <c r="Y52" s="116"/>
      <c r="Z52" s="34"/>
      <c r="AA52" s="366"/>
    </row>
    <row r="53" spans="1:34" ht="22.75" customHeight="1" x14ac:dyDescent="0.2">
      <c r="A53" s="350" t="s">
        <v>214</v>
      </c>
      <c r="B53" s="23" t="s">
        <v>77</v>
      </c>
      <c r="C53" s="66"/>
      <c r="D53" s="276"/>
      <c r="E53" s="33"/>
      <c r="F53" s="33"/>
      <c r="G53" s="33"/>
      <c r="H53" s="276"/>
      <c r="I53" s="33"/>
      <c r="J53" s="33"/>
      <c r="K53" s="33"/>
      <c r="L53" s="276"/>
      <c r="M53" s="33"/>
      <c r="N53" s="33"/>
      <c r="O53" s="33"/>
      <c r="P53" s="276"/>
      <c r="Q53" s="111" t="s">
        <v>363</v>
      </c>
      <c r="R53" s="111" t="s">
        <v>363</v>
      </c>
      <c r="S53" s="111" t="s">
        <v>363</v>
      </c>
      <c r="T53" s="276"/>
      <c r="U53" s="97" t="s">
        <v>78</v>
      </c>
      <c r="V53" s="94"/>
      <c r="W53" s="93"/>
      <c r="X53" s="79">
        <f t="shared" si="3"/>
        <v>0</v>
      </c>
      <c r="Y53" s="116"/>
      <c r="Z53" s="174"/>
      <c r="AA53" s="364" t="s">
        <v>152</v>
      </c>
    </row>
    <row r="54" spans="1:34" ht="45" x14ac:dyDescent="0.2">
      <c r="A54" s="345"/>
      <c r="B54" s="317" t="s">
        <v>367</v>
      </c>
      <c r="C54" s="263"/>
      <c r="D54" s="276"/>
      <c r="E54" s="111" t="s">
        <v>363</v>
      </c>
      <c r="F54" s="111" t="s">
        <v>363</v>
      </c>
      <c r="G54" s="111" t="s">
        <v>363</v>
      </c>
      <c r="H54" s="276"/>
      <c r="I54" s="111" t="s">
        <v>363</v>
      </c>
      <c r="J54" s="111" t="s">
        <v>363</v>
      </c>
      <c r="K54" s="111" t="s">
        <v>363</v>
      </c>
      <c r="L54" s="276"/>
      <c r="M54" s="111" t="s">
        <v>363</v>
      </c>
      <c r="N54" s="111" t="s">
        <v>363</v>
      </c>
      <c r="O54" s="111" t="s">
        <v>363</v>
      </c>
      <c r="P54" s="276"/>
      <c r="Q54" s="111" t="s">
        <v>363</v>
      </c>
      <c r="R54" s="111" t="s">
        <v>363</v>
      </c>
      <c r="S54" s="111" t="s">
        <v>363</v>
      </c>
      <c r="T54" s="276"/>
      <c r="U54" s="97" t="s">
        <v>368</v>
      </c>
      <c r="V54" s="1"/>
      <c r="W54" s="152">
        <f>42000*2.15384615384615</f>
        <v>90461.538461538308</v>
      </c>
      <c r="X54" s="79">
        <f t="shared" si="3"/>
        <v>45230769.230769157</v>
      </c>
      <c r="Y54" s="116"/>
      <c r="Z54" s="4"/>
      <c r="AA54" s="366"/>
    </row>
    <row r="55" spans="1:34" s="17" customFormat="1" ht="30" x14ac:dyDescent="0.2">
      <c r="A55" s="180" t="s">
        <v>215</v>
      </c>
      <c r="B55" s="114" t="s">
        <v>79</v>
      </c>
      <c r="C55" s="264"/>
      <c r="D55" s="276"/>
      <c r="E55" s="111" t="s">
        <v>363</v>
      </c>
      <c r="F55" s="111" t="s">
        <v>363</v>
      </c>
      <c r="G55" s="111" t="s">
        <v>363</v>
      </c>
      <c r="H55" s="276"/>
      <c r="I55" s="111" t="s">
        <v>363</v>
      </c>
      <c r="J55" s="111" t="s">
        <v>363</v>
      </c>
      <c r="K55" s="111" t="s">
        <v>363</v>
      </c>
      <c r="L55" s="276"/>
      <c r="M55" s="111" t="s">
        <v>363</v>
      </c>
      <c r="N55" s="111" t="s">
        <v>363</v>
      </c>
      <c r="O55" s="111" t="s">
        <v>363</v>
      </c>
      <c r="P55" s="276"/>
      <c r="Q55" s="111" t="s">
        <v>363</v>
      </c>
      <c r="R55" s="111" t="s">
        <v>363</v>
      </c>
      <c r="S55" s="111" t="s">
        <v>363</v>
      </c>
      <c r="T55" s="276"/>
      <c r="U55" s="97" t="s">
        <v>80</v>
      </c>
      <c r="V55" s="23"/>
      <c r="W55" s="79">
        <f>500000/500</f>
        <v>1000</v>
      </c>
      <c r="X55" s="79">
        <f t="shared" si="3"/>
        <v>500000</v>
      </c>
      <c r="Y55" s="116"/>
      <c r="Z55" s="21"/>
      <c r="AA55" s="73" t="s">
        <v>81</v>
      </c>
      <c r="AB55" s="16"/>
      <c r="AC55" s="16"/>
      <c r="AD55" s="16"/>
      <c r="AE55" s="16"/>
      <c r="AF55" s="16"/>
      <c r="AG55" s="16"/>
      <c r="AH55" s="16"/>
    </row>
    <row r="56" spans="1:34" s="17" customFormat="1" ht="30" x14ac:dyDescent="0.2">
      <c r="A56" s="350" t="s">
        <v>216</v>
      </c>
      <c r="B56" s="23" t="s">
        <v>82</v>
      </c>
      <c r="C56" s="66"/>
      <c r="D56" s="276"/>
      <c r="E56" s="111" t="s">
        <v>363</v>
      </c>
      <c r="F56" s="111" t="s">
        <v>363</v>
      </c>
      <c r="G56" s="111" t="s">
        <v>363</v>
      </c>
      <c r="H56" s="276"/>
      <c r="I56" s="111" t="s">
        <v>363</v>
      </c>
      <c r="J56" s="111" t="s">
        <v>363</v>
      </c>
      <c r="K56" s="111" t="s">
        <v>363</v>
      </c>
      <c r="L56" s="276"/>
      <c r="M56" s="111" t="s">
        <v>363</v>
      </c>
      <c r="N56" s="111" t="s">
        <v>363</v>
      </c>
      <c r="O56" s="111" t="s">
        <v>363</v>
      </c>
      <c r="P56" s="276"/>
      <c r="Q56" s="111" t="s">
        <v>363</v>
      </c>
      <c r="R56" s="111" t="s">
        <v>363</v>
      </c>
      <c r="S56" s="111" t="s">
        <v>363</v>
      </c>
      <c r="T56" s="276"/>
      <c r="U56" s="97" t="s">
        <v>83</v>
      </c>
      <c r="V56" s="23"/>
      <c r="W56" s="78" t="s">
        <v>84</v>
      </c>
      <c r="X56" s="79"/>
      <c r="Y56" s="116"/>
      <c r="Z56" s="21"/>
      <c r="AA56" s="364" t="s">
        <v>25</v>
      </c>
      <c r="AB56" s="16"/>
      <c r="AC56" s="16"/>
      <c r="AD56" s="16"/>
      <c r="AE56" s="16"/>
      <c r="AF56" s="16"/>
      <c r="AG56" s="16"/>
      <c r="AH56" s="16"/>
    </row>
    <row r="57" spans="1:34" s="17" customFormat="1" ht="30" x14ac:dyDescent="0.2">
      <c r="A57" s="344"/>
      <c r="B57" s="23" t="s">
        <v>85</v>
      </c>
      <c r="C57" s="65"/>
      <c r="D57" s="276"/>
      <c r="E57" s="111" t="s">
        <v>363</v>
      </c>
      <c r="F57" s="111" t="s">
        <v>363</v>
      </c>
      <c r="G57" s="111" t="s">
        <v>363</v>
      </c>
      <c r="H57" s="276"/>
      <c r="I57" s="111" t="s">
        <v>363</v>
      </c>
      <c r="J57" s="111" t="s">
        <v>363</v>
      </c>
      <c r="K57" s="111" t="s">
        <v>363</v>
      </c>
      <c r="L57" s="276"/>
      <c r="M57" s="111" t="s">
        <v>363</v>
      </c>
      <c r="N57" s="111" t="s">
        <v>363</v>
      </c>
      <c r="O57" s="111" t="s">
        <v>363</v>
      </c>
      <c r="P57" s="276"/>
      <c r="Q57" s="111" t="s">
        <v>363</v>
      </c>
      <c r="R57" s="111" t="s">
        <v>363</v>
      </c>
      <c r="S57" s="111" t="s">
        <v>363</v>
      </c>
      <c r="T57" s="276"/>
      <c r="U57" s="97" t="s">
        <v>86</v>
      </c>
      <c r="V57" s="23"/>
      <c r="W57" s="93">
        <v>0</v>
      </c>
      <c r="X57" s="79">
        <f t="shared" si="3"/>
        <v>0</v>
      </c>
      <c r="Y57" s="116"/>
      <c r="Z57" s="21"/>
      <c r="AA57" s="365"/>
      <c r="AB57" s="16"/>
      <c r="AC57" s="16"/>
      <c r="AD57" s="16"/>
      <c r="AE57" s="16"/>
      <c r="AF57" s="16"/>
      <c r="AG57" s="16"/>
      <c r="AH57" s="16"/>
    </row>
    <row r="58" spans="1:34" s="17" customFormat="1" ht="30" x14ac:dyDescent="0.2">
      <c r="A58" s="345"/>
      <c r="B58" s="318" t="s">
        <v>369</v>
      </c>
      <c r="C58" s="262"/>
      <c r="D58" s="276"/>
      <c r="E58" s="111" t="s">
        <v>363</v>
      </c>
      <c r="F58" s="111" t="s">
        <v>363</v>
      </c>
      <c r="G58" s="111" t="s">
        <v>363</v>
      </c>
      <c r="H58" s="276"/>
      <c r="I58" s="111" t="s">
        <v>363</v>
      </c>
      <c r="J58" s="111" t="s">
        <v>363</v>
      </c>
      <c r="K58" s="111" t="s">
        <v>363</v>
      </c>
      <c r="L58" s="276"/>
      <c r="M58" s="111" t="s">
        <v>363</v>
      </c>
      <c r="N58" s="111" t="s">
        <v>363</v>
      </c>
      <c r="O58" s="111" t="s">
        <v>363</v>
      </c>
      <c r="P58" s="276"/>
      <c r="Q58" s="111" t="s">
        <v>363</v>
      </c>
      <c r="R58" s="111" t="s">
        <v>363</v>
      </c>
      <c r="S58" s="111" t="s">
        <v>363</v>
      </c>
      <c r="T58" s="276"/>
      <c r="U58" s="97" t="s">
        <v>370</v>
      </c>
      <c r="V58" s="23"/>
      <c r="W58" s="143">
        <f>15000000/500</f>
        <v>30000</v>
      </c>
      <c r="X58" s="79">
        <f t="shared" si="3"/>
        <v>15000000</v>
      </c>
      <c r="Y58" s="116"/>
      <c r="Z58" s="21"/>
      <c r="AA58" s="366"/>
      <c r="AB58" s="16"/>
      <c r="AC58" s="16"/>
      <c r="AD58" s="16"/>
      <c r="AE58" s="16"/>
      <c r="AF58" s="16"/>
      <c r="AG58" s="16"/>
      <c r="AH58" s="16"/>
    </row>
    <row r="59" spans="1:34" x14ac:dyDescent="0.15">
      <c r="A59" s="359" t="s">
        <v>87</v>
      </c>
      <c r="B59" s="360"/>
      <c r="C59" s="265"/>
      <c r="D59" s="30"/>
      <c r="E59" s="30"/>
      <c r="F59" s="30"/>
      <c r="G59" s="30"/>
      <c r="H59" s="30"/>
      <c r="I59" s="30"/>
      <c r="J59" s="30"/>
      <c r="K59" s="30"/>
      <c r="L59" s="30"/>
      <c r="M59" s="30"/>
      <c r="N59" s="30"/>
      <c r="O59" s="30"/>
      <c r="P59" s="30"/>
      <c r="Q59" s="30"/>
      <c r="R59" s="30"/>
      <c r="S59" s="30"/>
      <c r="T59" s="30"/>
      <c r="U59" s="138"/>
      <c r="V59" s="30"/>
      <c r="W59" s="156">
        <f>+SUM(W60:W60)</f>
        <v>8000</v>
      </c>
      <c r="X59" s="156">
        <f t="shared" ref="X59:X75" si="4">+W59*500</f>
        <v>4000000</v>
      </c>
      <c r="Y59" s="32"/>
      <c r="Z59" s="36"/>
      <c r="AA59" s="30"/>
    </row>
    <row r="60" spans="1:34" s="17" customFormat="1" ht="58.25" customHeight="1" x14ac:dyDescent="0.2">
      <c r="A60" s="240" t="s">
        <v>195</v>
      </c>
      <c r="B60" s="318" t="s">
        <v>348</v>
      </c>
      <c r="C60" s="262"/>
      <c r="D60" s="276"/>
      <c r="E60" s="111" t="s">
        <v>363</v>
      </c>
      <c r="F60" s="111" t="s">
        <v>363</v>
      </c>
      <c r="G60" s="111" t="s">
        <v>363</v>
      </c>
      <c r="H60" s="276"/>
      <c r="I60" s="111" t="s">
        <v>363</v>
      </c>
      <c r="J60" s="111" t="s">
        <v>363</v>
      </c>
      <c r="K60" s="111" t="s">
        <v>363</v>
      </c>
      <c r="L60" s="276"/>
      <c r="M60" s="111" t="s">
        <v>363</v>
      </c>
      <c r="N60" s="111" t="s">
        <v>363</v>
      </c>
      <c r="O60" s="111" t="s">
        <v>363</v>
      </c>
      <c r="P60" s="276"/>
      <c r="Q60" s="111" t="s">
        <v>363</v>
      </c>
      <c r="R60" s="111" t="s">
        <v>363</v>
      </c>
      <c r="S60" s="111" t="s">
        <v>363</v>
      </c>
      <c r="T60" s="276"/>
      <c r="U60" s="284" t="s">
        <v>349</v>
      </c>
      <c r="V60" s="175"/>
      <c r="W60" s="152">
        <f>4000000/500</f>
        <v>8000</v>
      </c>
      <c r="X60" s="152">
        <f t="shared" si="4"/>
        <v>4000000</v>
      </c>
      <c r="Y60" s="116"/>
      <c r="Z60" s="21"/>
      <c r="AA60" s="134"/>
      <c r="AB60" s="16"/>
      <c r="AC60" s="16"/>
      <c r="AD60" s="16"/>
      <c r="AE60" s="16"/>
      <c r="AF60" s="16"/>
      <c r="AG60" s="16"/>
      <c r="AH60" s="16"/>
    </row>
    <row r="61" spans="1:34" s="40" customFormat="1" ht="29.5" customHeight="1" x14ac:dyDescent="0.2">
      <c r="A61" s="367" t="s">
        <v>88</v>
      </c>
      <c r="B61" s="368"/>
      <c r="C61" s="137"/>
      <c r="D61" s="51"/>
      <c r="E61" s="51"/>
      <c r="F61" s="51"/>
      <c r="G61" s="51"/>
      <c r="H61" s="51"/>
      <c r="I61" s="51"/>
      <c r="J61" s="51"/>
      <c r="K61" s="51"/>
      <c r="L61" s="51"/>
      <c r="M61" s="51"/>
      <c r="N61" s="51"/>
      <c r="O61" s="51"/>
      <c r="P61" s="51"/>
      <c r="Q61" s="51"/>
      <c r="R61" s="51"/>
      <c r="S61" s="51"/>
      <c r="T61" s="51"/>
      <c r="U61" s="137"/>
      <c r="V61" s="37"/>
      <c r="W61" s="158">
        <f>+SUM(W62:W65)</f>
        <v>67983</v>
      </c>
      <c r="X61" s="158">
        <f t="shared" si="4"/>
        <v>33991500</v>
      </c>
      <c r="Y61" s="80"/>
      <c r="Z61" s="80"/>
      <c r="AA61" s="38"/>
      <c r="AB61" s="39"/>
      <c r="AC61" s="39"/>
      <c r="AD61" s="39"/>
      <c r="AE61" s="39"/>
      <c r="AF61" s="39"/>
      <c r="AG61" s="39"/>
      <c r="AH61" s="39"/>
    </row>
    <row r="62" spans="1:34" s="69" customFormat="1" ht="55.25" customHeight="1" x14ac:dyDescent="0.2">
      <c r="A62" s="150" t="s">
        <v>217</v>
      </c>
      <c r="B62" s="23" t="s">
        <v>156</v>
      </c>
      <c r="C62" s="65"/>
      <c r="D62" s="276"/>
      <c r="E62" s="19"/>
      <c r="F62" s="67"/>
      <c r="G62" s="19"/>
      <c r="H62" s="276"/>
      <c r="I62" s="67"/>
      <c r="J62" s="67"/>
      <c r="K62" s="67"/>
      <c r="L62" s="276"/>
      <c r="M62" s="67"/>
      <c r="N62" s="67"/>
      <c r="O62" s="67"/>
      <c r="P62" s="276"/>
      <c r="Q62" s="111" t="s">
        <v>363</v>
      </c>
      <c r="R62" s="111" t="s">
        <v>363</v>
      </c>
      <c r="S62" s="111" t="s">
        <v>363</v>
      </c>
      <c r="T62" s="276"/>
      <c r="U62" s="285" t="s">
        <v>157</v>
      </c>
      <c r="V62" s="67"/>
      <c r="W62" s="79">
        <f>73000000*0.3/500</f>
        <v>43800</v>
      </c>
      <c r="X62" s="79">
        <f t="shared" si="4"/>
        <v>21900000</v>
      </c>
      <c r="Y62" s="116"/>
      <c r="Z62" s="67"/>
      <c r="AA62" s="99" t="s">
        <v>89</v>
      </c>
      <c r="AB62" s="68"/>
      <c r="AC62" s="68"/>
      <c r="AD62" s="68"/>
      <c r="AE62" s="68"/>
      <c r="AF62" s="68"/>
      <c r="AG62" s="68"/>
      <c r="AH62" s="68"/>
    </row>
    <row r="63" spans="1:34" customFormat="1" ht="60" x14ac:dyDescent="0.2">
      <c r="A63" s="95" t="s">
        <v>218</v>
      </c>
      <c r="B63" s="23" t="s">
        <v>90</v>
      </c>
      <c r="C63" s="65"/>
      <c r="D63" s="276"/>
      <c r="E63" s="111" t="s">
        <v>363</v>
      </c>
      <c r="F63" s="111" t="s">
        <v>363</v>
      </c>
      <c r="G63" s="111" t="s">
        <v>363</v>
      </c>
      <c r="H63" s="276"/>
      <c r="I63" s="111" t="s">
        <v>363</v>
      </c>
      <c r="J63" s="111" t="s">
        <v>363</v>
      </c>
      <c r="K63" s="111" t="s">
        <v>363</v>
      </c>
      <c r="L63" s="276"/>
      <c r="M63" s="111" t="s">
        <v>363</v>
      </c>
      <c r="N63" s="111" t="s">
        <v>363</v>
      </c>
      <c r="O63" s="111" t="s">
        <v>363</v>
      </c>
      <c r="P63" s="276"/>
      <c r="Q63" s="111" t="s">
        <v>363</v>
      </c>
      <c r="R63" s="111" t="s">
        <v>363</v>
      </c>
      <c r="S63" s="111" t="s">
        <v>363</v>
      </c>
      <c r="T63" s="276"/>
      <c r="U63" s="97" t="s">
        <v>91</v>
      </c>
      <c r="V63" s="1"/>
      <c r="W63" s="157">
        <f>2091500/500</f>
        <v>4183</v>
      </c>
      <c r="X63" s="79">
        <f t="shared" si="4"/>
        <v>2091500</v>
      </c>
      <c r="Y63" s="116"/>
      <c r="Z63" s="70"/>
      <c r="AA63" s="23" t="s">
        <v>25</v>
      </c>
      <c r="AB63" s="43"/>
      <c r="AC63" s="43"/>
      <c r="AD63" s="43"/>
      <c r="AE63" s="43"/>
      <c r="AF63" s="43"/>
      <c r="AG63" s="43"/>
      <c r="AH63" s="43"/>
    </row>
    <row r="64" spans="1:34" customFormat="1" ht="27.5" customHeight="1" x14ac:dyDescent="0.2">
      <c r="A64" s="357" t="s">
        <v>196</v>
      </c>
      <c r="B64" s="66" t="s">
        <v>162</v>
      </c>
      <c r="C64" s="66"/>
      <c r="D64" s="276"/>
      <c r="E64" s="45"/>
      <c r="F64" s="111" t="s">
        <v>363</v>
      </c>
      <c r="G64" s="111" t="s">
        <v>363</v>
      </c>
      <c r="H64" s="276"/>
      <c r="I64" s="111" t="s">
        <v>363</v>
      </c>
      <c r="J64" s="45"/>
      <c r="K64" s="45"/>
      <c r="L64" s="276"/>
      <c r="M64" s="45"/>
      <c r="N64" s="45"/>
      <c r="O64" s="45"/>
      <c r="P64" s="276"/>
      <c r="Q64" s="45"/>
      <c r="R64" s="45"/>
      <c r="S64" s="45"/>
      <c r="T64" s="276"/>
      <c r="U64" s="144"/>
      <c r="V64" s="64"/>
      <c r="W64" s="159"/>
      <c r="X64" s="79">
        <f t="shared" si="4"/>
        <v>0</v>
      </c>
      <c r="Y64" s="145"/>
      <c r="Z64" s="146"/>
      <c r="AA64" s="23"/>
      <c r="AB64" s="43"/>
      <c r="AC64" s="43"/>
      <c r="AD64" s="43"/>
      <c r="AE64" s="43"/>
      <c r="AF64" s="43"/>
      <c r="AG64" s="43"/>
      <c r="AH64" s="43"/>
    </row>
    <row r="65" spans="1:34" customFormat="1" ht="45" x14ac:dyDescent="0.2">
      <c r="A65" s="358"/>
      <c r="B65" s="66" t="s">
        <v>172</v>
      </c>
      <c r="C65" s="66"/>
      <c r="D65" s="276"/>
      <c r="E65" s="45"/>
      <c r="F65" s="45"/>
      <c r="G65" s="45"/>
      <c r="H65" s="276"/>
      <c r="I65" s="111" t="s">
        <v>363</v>
      </c>
      <c r="J65" s="111" t="s">
        <v>363</v>
      </c>
      <c r="K65" s="111" t="s">
        <v>363</v>
      </c>
      <c r="L65" s="276"/>
      <c r="M65" s="45"/>
      <c r="N65" s="45"/>
      <c r="O65" s="45"/>
      <c r="P65" s="276"/>
      <c r="Q65" s="45"/>
      <c r="R65" s="45"/>
      <c r="S65" s="45"/>
      <c r="T65" s="276"/>
      <c r="U65" s="144"/>
      <c r="V65" s="64"/>
      <c r="W65" s="159">
        <f>10000000/500</f>
        <v>20000</v>
      </c>
      <c r="X65" s="79">
        <f t="shared" si="4"/>
        <v>10000000</v>
      </c>
      <c r="Y65" s="145"/>
      <c r="Z65" s="146"/>
      <c r="AA65" s="23"/>
      <c r="AB65" s="43"/>
      <c r="AC65" s="43"/>
      <c r="AD65" s="43"/>
      <c r="AE65" s="43"/>
      <c r="AF65" s="43"/>
      <c r="AG65" s="43"/>
      <c r="AH65" s="43"/>
    </row>
    <row r="66" spans="1:34" customFormat="1" ht="30" customHeight="1" x14ac:dyDescent="0.2">
      <c r="A66" s="176" t="s">
        <v>92</v>
      </c>
      <c r="B66" s="29"/>
      <c r="C66" s="29"/>
      <c r="D66" s="30"/>
      <c r="E66" s="30"/>
      <c r="F66" s="30"/>
      <c r="G66" s="30"/>
      <c r="H66" s="30"/>
      <c r="I66" s="30"/>
      <c r="J66" s="30"/>
      <c r="K66" s="30"/>
      <c r="L66" s="30"/>
      <c r="M66" s="30"/>
      <c r="N66" s="30"/>
      <c r="O66" s="30"/>
      <c r="P66" s="30"/>
      <c r="Q66" s="30"/>
      <c r="R66" s="30"/>
      <c r="S66" s="30"/>
      <c r="T66" s="30"/>
      <c r="U66" s="136"/>
      <c r="V66" s="29"/>
      <c r="W66" s="160">
        <f>+SUM(W67:W69)</f>
        <v>161000</v>
      </c>
      <c r="X66" s="160">
        <f t="shared" si="4"/>
        <v>80500000</v>
      </c>
      <c r="Y66" s="82"/>
      <c r="Z66" s="82"/>
      <c r="AA66" s="30"/>
      <c r="AB66" s="43"/>
      <c r="AC66" s="43"/>
      <c r="AD66" s="43"/>
      <c r="AE66" s="43"/>
      <c r="AF66" s="43"/>
      <c r="AG66" s="43"/>
      <c r="AH66" s="43"/>
    </row>
    <row r="67" spans="1:34" customFormat="1" ht="30" x14ac:dyDescent="0.2">
      <c r="A67" s="350" t="s">
        <v>350</v>
      </c>
      <c r="B67" s="23" t="s">
        <v>93</v>
      </c>
      <c r="C67" s="65"/>
      <c r="D67" s="276"/>
      <c r="E67" s="1"/>
      <c r="F67" s="1"/>
      <c r="G67" s="1"/>
      <c r="H67" s="276"/>
      <c r="I67" s="111" t="s">
        <v>363</v>
      </c>
      <c r="J67" s="1"/>
      <c r="K67" s="1"/>
      <c r="L67" s="276"/>
      <c r="M67" s="1"/>
      <c r="N67" s="1"/>
      <c r="O67" s="1"/>
      <c r="P67" s="276"/>
      <c r="Q67" s="1"/>
      <c r="R67" s="1"/>
      <c r="S67" s="1"/>
      <c r="T67" s="276"/>
      <c r="U67" s="97" t="s">
        <v>94</v>
      </c>
      <c r="V67" s="1"/>
      <c r="W67" s="79">
        <f>500000/500</f>
        <v>1000</v>
      </c>
      <c r="X67" s="79">
        <f t="shared" si="4"/>
        <v>500000</v>
      </c>
      <c r="Y67" s="116"/>
      <c r="Z67" s="70"/>
      <c r="AA67" s="350" t="s">
        <v>25</v>
      </c>
      <c r="AB67" s="43"/>
      <c r="AC67" s="43"/>
      <c r="AD67" s="43"/>
      <c r="AE67" s="43"/>
      <c r="AF67" s="43"/>
      <c r="AG67" s="43"/>
      <c r="AH67" s="43"/>
    </row>
    <row r="68" spans="1:34" customFormat="1" ht="45" x14ac:dyDescent="0.2">
      <c r="A68" s="345"/>
      <c r="B68" s="23" t="s">
        <v>95</v>
      </c>
      <c r="C68" s="65"/>
      <c r="D68" s="276"/>
      <c r="E68" s="1"/>
      <c r="F68" s="1"/>
      <c r="G68" s="1"/>
      <c r="H68" s="276"/>
      <c r="I68" s="1"/>
      <c r="J68" s="111" t="s">
        <v>363</v>
      </c>
      <c r="K68" s="111" t="s">
        <v>363</v>
      </c>
      <c r="L68" s="276"/>
      <c r="M68" s="1"/>
      <c r="N68" s="1"/>
      <c r="O68" s="1"/>
      <c r="P68" s="276"/>
      <c r="Q68" s="1"/>
      <c r="R68" s="1"/>
      <c r="S68" s="1"/>
      <c r="T68" s="276"/>
      <c r="U68" s="97" t="s">
        <v>96</v>
      </c>
      <c r="V68" s="1"/>
      <c r="W68" s="79">
        <f>5000000/500</f>
        <v>10000</v>
      </c>
      <c r="X68" s="79">
        <f t="shared" si="4"/>
        <v>5000000</v>
      </c>
      <c r="Y68" s="116"/>
      <c r="Z68" s="70"/>
      <c r="AA68" s="345"/>
      <c r="AB68" s="43"/>
      <c r="AC68" s="43"/>
      <c r="AD68" s="43"/>
      <c r="AE68" s="43"/>
      <c r="AF68" s="43"/>
      <c r="AG68" s="43"/>
      <c r="AH68" s="43"/>
    </row>
    <row r="69" spans="1:34" s="40" customFormat="1" ht="45" x14ac:dyDescent="0.2">
      <c r="A69" s="95" t="s">
        <v>371</v>
      </c>
      <c r="B69" s="23" t="s">
        <v>372</v>
      </c>
      <c r="C69" s="65"/>
      <c r="D69" s="276"/>
      <c r="E69" s="111" t="s">
        <v>363</v>
      </c>
      <c r="F69" s="111" t="s">
        <v>363</v>
      </c>
      <c r="G69" s="111" t="s">
        <v>363</v>
      </c>
      <c r="H69" s="276"/>
      <c r="I69" s="111" t="s">
        <v>363</v>
      </c>
      <c r="J69" s="111" t="s">
        <v>363</v>
      </c>
      <c r="K69" s="111" t="s">
        <v>363</v>
      </c>
      <c r="L69" s="276"/>
      <c r="M69" s="111" t="s">
        <v>363</v>
      </c>
      <c r="N69" s="111" t="s">
        <v>363</v>
      </c>
      <c r="O69" s="111" t="s">
        <v>363</v>
      </c>
      <c r="P69" s="276"/>
      <c r="Q69" s="111" t="s">
        <v>363</v>
      </c>
      <c r="R69" s="111" t="s">
        <v>363</v>
      </c>
      <c r="S69" s="111" t="s">
        <v>363</v>
      </c>
      <c r="T69" s="276"/>
      <c r="U69" s="97" t="s">
        <v>97</v>
      </c>
      <c r="V69" s="23"/>
      <c r="W69" s="79">
        <f>75000000/500</f>
        <v>150000</v>
      </c>
      <c r="X69" s="79">
        <f t="shared" si="4"/>
        <v>75000000</v>
      </c>
      <c r="Y69" s="116"/>
      <c r="Z69" s="71"/>
      <c r="AA69" s="23" t="s">
        <v>25</v>
      </c>
      <c r="AB69" s="39"/>
      <c r="AC69" s="39"/>
      <c r="AD69" s="39"/>
      <c r="AE69" s="39"/>
      <c r="AF69" s="39"/>
      <c r="AG69" s="39"/>
      <c r="AH69" s="39"/>
    </row>
    <row r="70" spans="1:34" customFormat="1" ht="15" x14ac:dyDescent="0.2">
      <c r="A70" s="359" t="s">
        <v>98</v>
      </c>
      <c r="B70" s="360"/>
      <c r="C70" s="136"/>
      <c r="D70" s="296"/>
      <c r="E70" s="296"/>
      <c r="F70" s="296"/>
      <c r="G70" s="296"/>
      <c r="H70" s="296"/>
      <c r="I70" s="296"/>
      <c r="J70" s="296"/>
      <c r="K70" s="296"/>
      <c r="L70" s="296"/>
      <c r="M70" s="296"/>
      <c r="N70" s="296"/>
      <c r="O70" s="296"/>
      <c r="P70" s="296"/>
      <c r="Q70" s="296"/>
      <c r="R70" s="296"/>
      <c r="S70" s="296"/>
      <c r="T70" s="296"/>
      <c r="U70" s="107"/>
      <c r="V70" s="46"/>
      <c r="W70" s="161">
        <f>+SUM(W71:W72)</f>
        <v>11000</v>
      </c>
      <c r="X70" s="161">
        <f t="shared" si="4"/>
        <v>5500000</v>
      </c>
      <c r="Y70" s="83">
        <f>+SUM(Y71:Y72)</f>
        <v>15000</v>
      </c>
      <c r="Z70" s="83"/>
      <c r="AA70" s="47"/>
      <c r="AB70" s="43"/>
      <c r="AC70" s="43"/>
      <c r="AD70" s="43"/>
      <c r="AE70" s="43"/>
      <c r="AF70" s="43"/>
      <c r="AG70" s="43"/>
      <c r="AH70" s="43"/>
    </row>
    <row r="71" spans="1:34" customFormat="1" ht="30" x14ac:dyDescent="0.2">
      <c r="A71" s="350" t="s">
        <v>219</v>
      </c>
      <c r="B71" s="172" t="s">
        <v>99</v>
      </c>
      <c r="C71" s="262"/>
      <c r="D71" s="276"/>
      <c r="E71" s="111" t="s">
        <v>363</v>
      </c>
      <c r="F71" s="111" t="s">
        <v>363</v>
      </c>
      <c r="G71" s="111" t="s">
        <v>363</v>
      </c>
      <c r="H71" s="276"/>
      <c r="I71" s="111" t="s">
        <v>363</v>
      </c>
      <c r="J71" s="111" t="s">
        <v>363</v>
      </c>
      <c r="K71" s="111" t="s">
        <v>363</v>
      </c>
      <c r="L71" s="276"/>
      <c r="M71" s="111" t="s">
        <v>363</v>
      </c>
      <c r="N71" s="111" t="s">
        <v>363</v>
      </c>
      <c r="O71" s="111" t="s">
        <v>363</v>
      </c>
      <c r="P71" s="276"/>
      <c r="Q71" s="111" t="s">
        <v>363</v>
      </c>
      <c r="R71" s="111" t="s">
        <v>363</v>
      </c>
      <c r="S71" s="111" t="s">
        <v>363</v>
      </c>
      <c r="T71" s="276"/>
      <c r="U71" s="97" t="s">
        <v>100</v>
      </c>
      <c r="V71" s="1"/>
      <c r="W71" s="157">
        <f>500000/500</f>
        <v>1000</v>
      </c>
      <c r="X71" s="157">
        <f t="shared" si="4"/>
        <v>500000</v>
      </c>
      <c r="Y71" s="116"/>
      <c r="Z71" s="42"/>
      <c r="AA71" s="370" t="s">
        <v>47</v>
      </c>
      <c r="AB71" s="43"/>
      <c r="AC71" s="43"/>
      <c r="AD71" s="43"/>
      <c r="AE71" s="43"/>
      <c r="AF71" s="43"/>
      <c r="AG71" s="43"/>
      <c r="AH71" s="43"/>
    </row>
    <row r="72" spans="1:34" customFormat="1" ht="27.5" customHeight="1" x14ac:dyDescent="0.2">
      <c r="A72" s="345"/>
      <c r="B72" s="172" t="s">
        <v>153</v>
      </c>
      <c r="C72" s="262"/>
      <c r="D72" s="276"/>
      <c r="E72" s="111" t="s">
        <v>363</v>
      </c>
      <c r="F72" s="111" t="s">
        <v>363</v>
      </c>
      <c r="G72" s="111" t="s">
        <v>363</v>
      </c>
      <c r="H72" s="276"/>
      <c r="I72" s="111" t="s">
        <v>363</v>
      </c>
      <c r="J72" s="111" t="s">
        <v>363</v>
      </c>
      <c r="K72" s="111" t="s">
        <v>363</v>
      </c>
      <c r="L72" s="276"/>
      <c r="M72" s="111" t="s">
        <v>363</v>
      </c>
      <c r="N72" s="111" t="s">
        <v>363</v>
      </c>
      <c r="O72" s="111" t="s">
        <v>363</v>
      </c>
      <c r="P72" s="276"/>
      <c r="Q72" s="111" t="s">
        <v>363</v>
      </c>
      <c r="R72" s="111" t="s">
        <v>363</v>
      </c>
      <c r="S72" s="111" t="s">
        <v>363</v>
      </c>
      <c r="T72" s="276"/>
      <c r="U72" s="286" t="s">
        <v>173</v>
      </c>
      <c r="V72" s="25"/>
      <c r="W72" s="163">
        <f>5000000/500</f>
        <v>10000</v>
      </c>
      <c r="X72" s="157">
        <f t="shared" si="4"/>
        <v>5000000</v>
      </c>
      <c r="Y72" s="116">
        <v>15000</v>
      </c>
      <c r="Z72" s="109"/>
      <c r="AA72" s="356"/>
      <c r="AB72" s="43"/>
      <c r="AC72" s="43"/>
      <c r="AD72" s="43"/>
      <c r="AE72" s="43"/>
      <c r="AF72" s="43"/>
      <c r="AG72" s="43"/>
      <c r="AH72" s="43"/>
    </row>
    <row r="73" spans="1:34" customFormat="1" ht="15" x14ac:dyDescent="0.2">
      <c r="A73" s="74" t="s">
        <v>101</v>
      </c>
      <c r="B73" s="9"/>
      <c r="C73" s="9"/>
      <c r="D73" s="10"/>
      <c r="E73" s="10"/>
      <c r="F73" s="10"/>
      <c r="G73" s="10"/>
      <c r="H73" s="10"/>
      <c r="I73" s="10"/>
      <c r="J73" s="10"/>
      <c r="K73" s="10"/>
      <c r="L73" s="10"/>
      <c r="M73" s="10"/>
      <c r="N73" s="10"/>
      <c r="O73" s="10"/>
      <c r="P73" s="10"/>
      <c r="Q73" s="10"/>
      <c r="R73" s="10"/>
      <c r="S73" s="10"/>
      <c r="T73" s="10"/>
      <c r="U73" s="108"/>
      <c r="V73" s="9"/>
      <c r="W73" s="164">
        <f>+W74+W86+W97</f>
        <v>403000</v>
      </c>
      <c r="X73" s="164">
        <f t="shared" si="4"/>
        <v>201500000</v>
      </c>
      <c r="Y73" s="84"/>
      <c r="Z73" s="48"/>
      <c r="AA73" s="27"/>
      <c r="AB73" s="43"/>
      <c r="AC73" s="43"/>
      <c r="AD73" s="43"/>
      <c r="AE73" s="43"/>
      <c r="AF73" s="43"/>
      <c r="AG73" s="43"/>
      <c r="AH73" s="43"/>
    </row>
    <row r="74" spans="1:34" customFormat="1" ht="15" x14ac:dyDescent="0.2">
      <c r="A74" s="76" t="s">
        <v>102</v>
      </c>
      <c r="B74" s="29"/>
      <c r="C74" s="29"/>
      <c r="D74" s="30"/>
      <c r="E74" s="30"/>
      <c r="F74" s="30"/>
      <c r="G74" s="30"/>
      <c r="H74" s="30"/>
      <c r="I74" s="30"/>
      <c r="J74" s="30"/>
      <c r="K74" s="30"/>
      <c r="L74" s="30"/>
      <c r="M74" s="30"/>
      <c r="N74" s="30"/>
      <c r="O74" s="30"/>
      <c r="P74" s="30"/>
      <c r="Q74" s="30"/>
      <c r="R74" s="30"/>
      <c r="S74" s="30"/>
      <c r="T74" s="30"/>
      <c r="U74" s="136"/>
      <c r="V74" s="29"/>
      <c r="W74" s="160">
        <f>+SUM(W75:W85)</f>
        <v>165000</v>
      </c>
      <c r="X74" s="160">
        <f t="shared" si="4"/>
        <v>82500000</v>
      </c>
      <c r="Y74" s="82"/>
      <c r="Z74" s="82"/>
      <c r="AA74" s="31"/>
      <c r="AB74" s="43"/>
      <c r="AC74" s="43"/>
      <c r="AD74" s="43"/>
      <c r="AE74" s="43"/>
      <c r="AF74" s="43"/>
      <c r="AG74" s="43"/>
      <c r="AH74" s="43"/>
    </row>
    <row r="75" spans="1:34" customFormat="1" ht="16" x14ac:dyDescent="0.2">
      <c r="A75" s="350" t="s">
        <v>220</v>
      </c>
      <c r="B75" s="23" t="s">
        <v>106</v>
      </c>
      <c r="C75" s="65"/>
      <c r="D75" s="276"/>
      <c r="E75" s="111" t="s">
        <v>363</v>
      </c>
      <c r="F75" s="111" t="s">
        <v>363</v>
      </c>
      <c r="G75" s="111" t="s">
        <v>363</v>
      </c>
      <c r="H75" s="276"/>
      <c r="I75" s="111" t="s">
        <v>363</v>
      </c>
      <c r="J75" s="111" t="s">
        <v>363</v>
      </c>
      <c r="K75" s="111" t="s">
        <v>363</v>
      </c>
      <c r="L75" s="276"/>
      <c r="M75" s="111" t="s">
        <v>363</v>
      </c>
      <c r="N75" s="111" t="s">
        <v>363</v>
      </c>
      <c r="O75" s="111" t="s">
        <v>363</v>
      </c>
      <c r="P75" s="276"/>
      <c r="Q75" s="1"/>
      <c r="R75" s="1"/>
      <c r="S75" s="1"/>
      <c r="T75" s="276"/>
      <c r="U75" s="351" t="s">
        <v>103</v>
      </c>
      <c r="V75" s="1"/>
      <c r="W75" s="79">
        <v>0</v>
      </c>
      <c r="X75" s="79">
        <f t="shared" si="4"/>
        <v>0</v>
      </c>
      <c r="Y75" s="116"/>
      <c r="Z75" s="149"/>
      <c r="AA75" s="350" t="s">
        <v>25</v>
      </c>
      <c r="AB75" s="43"/>
      <c r="AC75" s="43"/>
      <c r="AD75" s="43"/>
      <c r="AE75" s="43"/>
      <c r="AF75" s="43"/>
      <c r="AG75" s="43"/>
      <c r="AH75" s="43"/>
    </row>
    <row r="76" spans="1:34" customFormat="1" ht="30" x14ac:dyDescent="0.2">
      <c r="A76" s="344"/>
      <c r="B76" s="23" t="s">
        <v>104</v>
      </c>
      <c r="C76" s="65"/>
      <c r="D76" s="276"/>
      <c r="E76" s="111" t="s">
        <v>363</v>
      </c>
      <c r="F76" s="111" t="s">
        <v>363</v>
      </c>
      <c r="G76" s="111" t="s">
        <v>363</v>
      </c>
      <c r="H76" s="276"/>
      <c r="I76" s="111" t="s">
        <v>363</v>
      </c>
      <c r="J76" s="111" t="s">
        <v>363</v>
      </c>
      <c r="K76" s="111" t="s">
        <v>363</v>
      </c>
      <c r="L76" s="276"/>
      <c r="M76" s="111" t="s">
        <v>363</v>
      </c>
      <c r="N76" s="111" t="s">
        <v>363</v>
      </c>
      <c r="O76" s="111" t="s">
        <v>363</v>
      </c>
      <c r="P76" s="276"/>
      <c r="Q76" s="1"/>
      <c r="R76" s="1"/>
      <c r="S76" s="1"/>
      <c r="T76" s="276"/>
      <c r="U76" s="352"/>
      <c r="V76" s="1"/>
      <c r="W76" s="79">
        <v>0</v>
      </c>
      <c r="X76" s="79">
        <f t="shared" ref="X76:X85" si="5">+W76*500</f>
        <v>0</v>
      </c>
      <c r="Y76" s="116"/>
      <c r="Z76" s="149"/>
      <c r="AA76" s="344"/>
      <c r="AB76" s="43"/>
      <c r="AC76" s="43"/>
      <c r="AD76" s="43"/>
      <c r="AE76" s="43"/>
      <c r="AF76" s="43"/>
      <c r="AG76" s="43"/>
      <c r="AH76" s="43"/>
    </row>
    <row r="77" spans="1:34" customFormat="1" ht="42" customHeight="1" x14ac:dyDescent="0.2">
      <c r="A77" s="344"/>
      <c r="B77" s="23" t="s">
        <v>105</v>
      </c>
      <c r="C77" s="65"/>
      <c r="D77" s="276"/>
      <c r="E77" s="111" t="s">
        <v>363</v>
      </c>
      <c r="F77" s="111" t="s">
        <v>363</v>
      </c>
      <c r="G77" s="111" t="s">
        <v>363</v>
      </c>
      <c r="H77" s="276"/>
      <c r="I77" s="111" t="s">
        <v>363</v>
      </c>
      <c r="J77" s="111" t="s">
        <v>363</v>
      </c>
      <c r="K77" s="111" t="s">
        <v>363</v>
      </c>
      <c r="L77" s="276"/>
      <c r="M77" s="111" t="s">
        <v>363</v>
      </c>
      <c r="N77" s="111" t="s">
        <v>363</v>
      </c>
      <c r="O77" s="111" t="s">
        <v>363</v>
      </c>
      <c r="P77" s="276"/>
      <c r="Q77" s="1"/>
      <c r="R77" s="1"/>
      <c r="S77" s="1"/>
      <c r="T77" s="276"/>
      <c r="U77" s="352"/>
      <c r="V77" s="1"/>
      <c r="W77" s="79">
        <v>125000</v>
      </c>
      <c r="X77" s="79">
        <f t="shared" si="5"/>
        <v>62500000</v>
      </c>
      <c r="Y77" s="116"/>
      <c r="Z77" s="149"/>
      <c r="AA77" s="344"/>
      <c r="AB77" s="189">
        <f>62500000/500</f>
        <v>125000</v>
      </c>
      <c r="AC77" s="43"/>
      <c r="AD77" s="43"/>
      <c r="AE77" s="43"/>
      <c r="AF77" s="43"/>
      <c r="AG77" s="43"/>
      <c r="AH77" s="43"/>
    </row>
    <row r="78" spans="1:34" customFormat="1" ht="16" x14ac:dyDescent="0.2">
      <c r="A78" s="350" t="s">
        <v>221</v>
      </c>
      <c r="B78" s="23" t="s">
        <v>106</v>
      </c>
      <c r="C78" s="65"/>
      <c r="D78" s="276"/>
      <c r="E78" s="111" t="s">
        <v>363</v>
      </c>
      <c r="F78" s="1"/>
      <c r="G78" s="1"/>
      <c r="H78" s="276"/>
      <c r="I78" s="1"/>
      <c r="J78" s="1"/>
      <c r="K78" s="1"/>
      <c r="L78" s="276"/>
      <c r="M78" s="1"/>
      <c r="N78" s="1"/>
      <c r="O78" s="1"/>
      <c r="P78" s="276"/>
      <c r="Q78" s="1"/>
      <c r="R78" s="1"/>
      <c r="S78" s="1"/>
      <c r="T78" s="276"/>
      <c r="U78" s="351" t="s">
        <v>107</v>
      </c>
      <c r="V78" s="1"/>
      <c r="W78" s="157"/>
      <c r="X78" s="79">
        <f t="shared" si="5"/>
        <v>0</v>
      </c>
      <c r="Y78" s="116"/>
      <c r="Z78" s="42"/>
      <c r="AA78" s="321" t="s">
        <v>25</v>
      </c>
      <c r="AB78" s="43"/>
      <c r="AC78" s="43"/>
      <c r="AD78" s="43"/>
      <c r="AE78" s="43"/>
      <c r="AF78" s="43"/>
      <c r="AG78" s="43"/>
      <c r="AH78" s="43"/>
    </row>
    <row r="79" spans="1:34" customFormat="1" ht="30" x14ac:dyDescent="0.2">
      <c r="A79" s="344"/>
      <c r="B79" s="23" t="s">
        <v>108</v>
      </c>
      <c r="C79" s="65"/>
      <c r="D79" s="276"/>
      <c r="E79" s="111" t="s">
        <v>363</v>
      </c>
      <c r="F79" s="111" t="s">
        <v>363</v>
      </c>
      <c r="G79" s="111" t="s">
        <v>363</v>
      </c>
      <c r="H79" s="276"/>
      <c r="I79" s="111" t="s">
        <v>363</v>
      </c>
      <c r="J79" s="111" t="s">
        <v>363</v>
      </c>
      <c r="K79" s="111" t="s">
        <v>363</v>
      </c>
      <c r="L79" s="276"/>
      <c r="M79" s="1"/>
      <c r="N79" s="1"/>
      <c r="O79" s="1"/>
      <c r="P79" s="276"/>
      <c r="Q79" s="1"/>
      <c r="R79" s="1"/>
      <c r="S79" s="1"/>
      <c r="T79" s="276"/>
      <c r="U79" s="352"/>
      <c r="V79" s="1"/>
      <c r="W79" s="157"/>
      <c r="X79" s="79">
        <f t="shared" si="5"/>
        <v>0</v>
      </c>
      <c r="Y79" s="116"/>
      <c r="Z79" s="42"/>
      <c r="AA79" s="322"/>
      <c r="AB79" s="43"/>
      <c r="AC79" s="43"/>
      <c r="AD79" s="43"/>
      <c r="AE79" s="43"/>
      <c r="AF79" s="43"/>
      <c r="AG79" s="43"/>
      <c r="AH79" s="43"/>
    </row>
    <row r="80" spans="1:34" customFormat="1" ht="30" x14ac:dyDescent="0.2">
      <c r="A80" s="345"/>
      <c r="B80" s="23" t="s">
        <v>109</v>
      </c>
      <c r="C80" s="65"/>
      <c r="D80" s="276"/>
      <c r="E80" s="1"/>
      <c r="F80" s="1"/>
      <c r="G80" s="1"/>
      <c r="H80" s="276"/>
      <c r="I80" s="1"/>
      <c r="J80" s="111" t="s">
        <v>363</v>
      </c>
      <c r="K80" s="111" t="s">
        <v>363</v>
      </c>
      <c r="L80" s="276"/>
      <c r="M80" s="1"/>
      <c r="N80" s="1"/>
      <c r="O80" s="1"/>
      <c r="P80" s="276"/>
      <c r="Q80" s="1"/>
      <c r="R80" s="1"/>
      <c r="S80" s="1"/>
      <c r="T80" s="276"/>
      <c r="U80" s="352"/>
      <c r="V80" s="1"/>
      <c r="W80" s="157">
        <f>10000000/500</f>
        <v>20000</v>
      </c>
      <c r="X80" s="79">
        <f t="shared" si="5"/>
        <v>10000000</v>
      </c>
      <c r="Y80" s="116"/>
      <c r="Z80" s="115"/>
      <c r="AA80" s="323"/>
      <c r="AB80" s="43"/>
      <c r="AC80" s="43"/>
      <c r="AD80" s="43"/>
      <c r="AE80" s="43"/>
      <c r="AF80" s="43"/>
      <c r="AG80" s="43"/>
      <c r="AH80" s="43"/>
    </row>
    <row r="81" spans="1:34" customFormat="1" ht="16" x14ac:dyDescent="0.2">
      <c r="A81" s="350" t="s">
        <v>222</v>
      </c>
      <c r="B81" s="23" t="s">
        <v>110</v>
      </c>
      <c r="C81" s="65"/>
      <c r="D81" s="276"/>
      <c r="E81" s="111" t="s">
        <v>363</v>
      </c>
      <c r="F81" s="1"/>
      <c r="G81" s="45"/>
      <c r="H81" s="276"/>
      <c r="I81" s="45"/>
      <c r="J81" s="45"/>
      <c r="K81" s="45"/>
      <c r="L81" s="276"/>
      <c r="M81" s="45"/>
      <c r="N81" s="45"/>
      <c r="O81" s="45"/>
      <c r="P81" s="276"/>
      <c r="Q81" s="1"/>
      <c r="R81" s="1"/>
      <c r="S81" s="1"/>
      <c r="T81" s="276"/>
      <c r="U81" s="351" t="s">
        <v>111</v>
      </c>
      <c r="V81" s="1"/>
      <c r="W81" s="157">
        <v>0</v>
      </c>
      <c r="X81" s="79">
        <f t="shared" si="5"/>
        <v>0</v>
      </c>
      <c r="Y81" s="116"/>
      <c r="Z81" s="42"/>
      <c r="AA81" s="321" t="s">
        <v>25</v>
      </c>
      <c r="AB81" s="43"/>
      <c r="AC81" s="43"/>
      <c r="AD81" s="43"/>
      <c r="AE81" s="43"/>
      <c r="AF81" s="43"/>
      <c r="AG81" s="43"/>
      <c r="AH81" s="43"/>
    </row>
    <row r="82" spans="1:34" customFormat="1" ht="16" x14ac:dyDescent="0.2">
      <c r="A82" s="344"/>
      <c r="B82" s="23" t="s">
        <v>112</v>
      </c>
      <c r="C82" s="65"/>
      <c r="D82" s="276"/>
      <c r="E82" s="111" t="s">
        <v>363</v>
      </c>
      <c r="F82" s="1"/>
      <c r="G82" s="45"/>
      <c r="H82" s="276"/>
      <c r="I82" s="45"/>
      <c r="J82" s="45"/>
      <c r="K82" s="45"/>
      <c r="L82" s="276"/>
      <c r="M82" s="45"/>
      <c r="N82" s="45"/>
      <c r="O82" s="45"/>
      <c r="P82" s="276"/>
      <c r="Q82" s="1"/>
      <c r="R82" s="1"/>
      <c r="S82" s="1"/>
      <c r="T82" s="276"/>
      <c r="U82" s="352"/>
      <c r="V82" s="1"/>
      <c r="W82" s="157">
        <v>0</v>
      </c>
      <c r="X82" s="79">
        <f t="shared" si="5"/>
        <v>0</v>
      </c>
      <c r="Y82" s="116"/>
      <c r="Z82" s="42"/>
      <c r="AA82" s="322"/>
      <c r="AB82" s="43"/>
      <c r="AC82" s="43"/>
      <c r="AD82" s="43"/>
      <c r="AE82" s="43"/>
      <c r="AF82" s="43"/>
      <c r="AG82" s="43"/>
      <c r="AH82" s="43"/>
    </row>
    <row r="83" spans="1:34" customFormat="1" ht="16" x14ac:dyDescent="0.2">
      <c r="A83" s="344"/>
      <c r="B83" s="23" t="s">
        <v>113</v>
      </c>
      <c r="C83" s="65"/>
      <c r="D83" s="276"/>
      <c r="E83" s="111" t="s">
        <v>363</v>
      </c>
      <c r="F83" s="1"/>
      <c r="G83" s="45"/>
      <c r="H83" s="276"/>
      <c r="I83" s="45"/>
      <c r="J83" s="45"/>
      <c r="K83" s="45"/>
      <c r="L83" s="276"/>
      <c r="M83" s="45"/>
      <c r="N83" s="45"/>
      <c r="O83" s="45"/>
      <c r="P83" s="276"/>
      <c r="Q83" s="1"/>
      <c r="R83" s="1"/>
      <c r="S83" s="1"/>
      <c r="T83" s="276"/>
      <c r="U83" s="352"/>
      <c r="V83" s="1"/>
      <c r="W83" s="157">
        <v>0</v>
      </c>
      <c r="X83" s="79">
        <f t="shared" si="5"/>
        <v>0</v>
      </c>
      <c r="Y83" s="116"/>
      <c r="Z83" s="42"/>
      <c r="AA83" s="322"/>
      <c r="AB83" s="43"/>
      <c r="AC83" s="43"/>
      <c r="AD83" s="43"/>
      <c r="AE83" s="43"/>
      <c r="AF83" s="43"/>
      <c r="AG83" s="43"/>
      <c r="AH83" s="43"/>
    </row>
    <row r="84" spans="1:34" customFormat="1" ht="16" x14ac:dyDescent="0.2">
      <c r="A84" s="344"/>
      <c r="B84" s="23" t="s">
        <v>114</v>
      </c>
      <c r="C84" s="65"/>
      <c r="D84" s="276"/>
      <c r="E84" s="1"/>
      <c r="F84" s="111" t="s">
        <v>363</v>
      </c>
      <c r="G84" s="45"/>
      <c r="H84" s="276"/>
      <c r="I84" s="45"/>
      <c r="J84" s="45"/>
      <c r="K84" s="45"/>
      <c r="L84" s="276"/>
      <c r="M84" s="45"/>
      <c r="N84" s="45"/>
      <c r="O84" s="45"/>
      <c r="P84" s="276"/>
      <c r="Q84" s="1"/>
      <c r="R84" s="1"/>
      <c r="S84" s="1"/>
      <c r="T84" s="276"/>
      <c r="U84" s="352"/>
      <c r="V84" s="1"/>
      <c r="W84" s="157">
        <v>0</v>
      </c>
      <c r="X84" s="79">
        <f t="shared" si="5"/>
        <v>0</v>
      </c>
      <c r="Y84" s="116"/>
      <c r="Z84" s="42"/>
      <c r="AA84" s="322"/>
      <c r="AB84" s="43"/>
      <c r="AC84" s="43"/>
      <c r="AD84" s="43"/>
      <c r="AE84" s="43"/>
      <c r="AF84" s="43"/>
      <c r="AG84" s="43"/>
      <c r="AH84" s="43"/>
    </row>
    <row r="85" spans="1:34" customFormat="1" ht="45" x14ac:dyDescent="0.2">
      <c r="A85" s="345"/>
      <c r="B85" s="23" t="s">
        <v>115</v>
      </c>
      <c r="C85" s="65"/>
      <c r="D85" s="276"/>
      <c r="E85" s="45"/>
      <c r="F85" s="111" t="s">
        <v>363</v>
      </c>
      <c r="G85" s="111" t="s">
        <v>363</v>
      </c>
      <c r="H85" s="276"/>
      <c r="I85" s="111" t="s">
        <v>363</v>
      </c>
      <c r="J85" s="45"/>
      <c r="K85" s="45"/>
      <c r="L85" s="276"/>
      <c r="M85" s="45"/>
      <c r="N85" s="45"/>
      <c r="O85" s="45"/>
      <c r="P85" s="276"/>
      <c r="Q85" s="1"/>
      <c r="R85" s="1"/>
      <c r="S85" s="1"/>
      <c r="T85" s="276"/>
      <c r="U85" s="363"/>
      <c r="V85" s="1"/>
      <c r="W85" s="157">
        <f>10000000/500</f>
        <v>20000</v>
      </c>
      <c r="X85" s="79">
        <f t="shared" si="5"/>
        <v>10000000</v>
      </c>
      <c r="Y85" s="116"/>
      <c r="Z85" s="42"/>
      <c r="AA85" s="323"/>
      <c r="AB85" s="43"/>
      <c r="AC85" s="43"/>
      <c r="AD85" s="43"/>
      <c r="AE85" s="43"/>
      <c r="AF85" s="43"/>
      <c r="AG85" s="43"/>
      <c r="AH85" s="43"/>
    </row>
    <row r="86" spans="1:34" customFormat="1" ht="15" x14ac:dyDescent="0.2">
      <c r="A86" s="76" t="s">
        <v>116</v>
      </c>
      <c r="B86" s="29"/>
      <c r="C86" s="29"/>
      <c r="D86" s="30"/>
      <c r="E86" s="30"/>
      <c r="F86" s="30"/>
      <c r="G86" s="30"/>
      <c r="H86" s="30"/>
      <c r="I86" s="30"/>
      <c r="J86" s="30"/>
      <c r="K86" s="30"/>
      <c r="L86" s="30"/>
      <c r="M86" s="30"/>
      <c r="N86" s="30"/>
      <c r="O86" s="30"/>
      <c r="P86" s="30"/>
      <c r="Q86" s="30"/>
      <c r="R86" s="30"/>
      <c r="S86" s="30"/>
      <c r="T86" s="30"/>
      <c r="U86" s="136"/>
      <c r="V86" s="29"/>
      <c r="W86" s="160">
        <f>+SUM(W87:W96)</f>
        <v>187000</v>
      </c>
      <c r="X86" s="160">
        <f>+W86*500</f>
        <v>93500000</v>
      </c>
      <c r="Y86" s="82"/>
      <c r="Z86" s="82"/>
      <c r="AA86" s="31"/>
      <c r="AB86" s="43"/>
      <c r="AC86" s="43"/>
      <c r="AD86" s="43"/>
      <c r="AE86" s="43"/>
      <c r="AF86" s="43"/>
      <c r="AG86" s="43"/>
      <c r="AH86" s="43"/>
    </row>
    <row r="87" spans="1:34" customFormat="1" ht="30" x14ac:dyDescent="0.2">
      <c r="A87" s="350" t="s">
        <v>223</v>
      </c>
      <c r="B87" s="23" t="s">
        <v>351</v>
      </c>
      <c r="C87" s="65"/>
      <c r="D87" s="276"/>
      <c r="E87" s="45"/>
      <c r="F87" s="45"/>
      <c r="G87" s="1"/>
      <c r="H87" s="276"/>
      <c r="I87" s="1"/>
      <c r="J87" s="1"/>
      <c r="K87" s="1"/>
      <c r="L87" s="276"/>
      <c r="M87" s="111" t="s">
        <v>363</v>
      </c>
      <c r="N87" s="111" t="s">
        <v>363</v>
      </c>
      <c r="O87" s="111" t="s">
        <v>363</v>
      </c>
      <c r="P87" s="276"/>
      <c r="Q87" s="111" t="s">
        <v>363</v>
      </c>
      <c r="R87" s="111" t="s">
        <v>363</v>
      </c>
      <c r="S87" s="111" t="s">
        <v>363</v>
      </c>
      <c r="T87" s="276"/>
      <c r="U87" s="97" t="s">
        <v>184</v>
      </c>
      <c r="V87" s="1"/>
      <c r="W87" s="143">
        <f>50000000/500</f>
        <v>100000</v>
      </c>
      <c r="X87" s="143">
        <f>+W87*500</f>
        <v>50000000</v>
      </c>
      <c r="Y87" s="116"/>
      <c r="Z87" s="115"/>
      <c r="AA87" s="350" t="s">
        <v>25</v>
      </c>
      <c r="AB87" s="43"/>
      <c r="AC87" s="43"/>
      <c r="AD87" s="43"/>
      <c r="AE87" s="43"/>
      <c r="AF87" s="43"/>
      <c r="AG87" s="43"/>
      <c r="AH87" s="43"/>
    </row>
    <row r="88" spans="1:34" customFormat="1" ht="30" x14ac:dyDescent="0.2">
      <c r="A88" s="344"/>
      <c r="B88" s="23" t="s">
        <v>174</v>
      </c>
      <c r="C88" s="65"/>
      <c r="D88" s="276"/>
      <c r="E88" s="45"/>
      <c r="F88" s="45"/>
      <c r="G88" s="1"/>
      <c r="H88" s="276"/>
      <c r="I88" s="1"/>
      <c r="J88" s="1"/>
      <c r="K88" s="1"/>
      <c r="L88" s="276"/>
      <c r="M88" s="111" t="s">
        <v>363</v>
      </c>
      <c r="N88" s="111" t="s">
        <v>363</v>
      </c>
      <c r="O88" s="111" t="s">
        <v>363</v>
      </c>
      <c r="P88" s="276"/>
      <c r="Q88" s="111" t="s">
        <v>363</v>
      </c>
      <c r="R88" s="111" t="s">
        <v>363</v>
      </c>
      <c r="S88" s="111" t="s">
        <v>363</v>
      </c>
      <c r="T88" s="276"/>
      <c r="U88" s="96" t="s">
        <v>186</v>
      </c>
      <c r="V88" s="1"/>
      <c r="W88" s="143">
        <v>45000</v>
      </c>
      <c r="X88" s="143">
        <f t="shared" ref="X88:X96" si="6">+W88*500</f>
        <v>22500000</v>
      </c>
      <c r="Y88" s="116"/>
      <c r="Z88" s="115"/>
      <c r="AA88" s="344"/>
      <c r="AB88" s="43"/>
      <c r="AC88" s="43"/>
      <c r="AD88" s="43"/>
      <c r="AE88" s="43"/>
      <c r="AF88" s="43"/>
      <c r="AG88" s="43"/>
      <c r="AH88" s="43"/>
    </row>
    <row r="89" spans="1:34" customFormat="1" ht="30" x14ac:dyDescent="0.2">
      <c r="A89" s="344"/>
      <c r="B89" s="23" t="s">
        <v>352</v>
      </c>
      <c r="C89" s="65"/>
      <c r="D89" s="276"/>
      <c r="E89" s="45"/>
      <c r="F89" s="45"/>
      <c r="G89" s="1"/>
      <c r="H89" s="276"/>
      <c r="I89" s="1"/>
      <c r="J89" s="1"/>
      <c r="K89" s="1"/>
      <c r="L89" s="276"/>
      <c r="M89" s="111" t="s">
        <v>363</v>
      </c>
      <c r="N89" s="111" t="s">
        <v>363</v>
      </c>
      <c r="O89" s="111" t="s">
        <v>363</v>
      </c>
      <c r="P89" s="276"/>
      <c r="Q89" s="111" t="s">
        <v>363</v>
      </c>
      <c r="R89" s="111" t="s">
        <v>363</v>
      </c>
      <c r="S89" s="111" t="s">
        <v>363</v>
      </c>
      <c r="T89" s="276"/>
      <c r="U89" s="96" t="s">
        <v>353</v>
      </c>
      <c r="V89" s="1"/>
      <c r="W89" s="79">
        <f>10000000/500</f>
        <v>20000</v>
      </c>
      <c r="X89" s="143">
        <f t="shared" si="6"/>
        <v>10000000</v>
      </c>
      <c r="Y89" s="116"/>
      <c r="Z89" s="42"/>
      <c r="AA89" s="344"/>
      <c r="AB89" s="43"/>
      <c r="AC89" s="43"/>
      <c r="AD89" s="43"/>
      <c r="AE89" s="43"/>
      <c r="AF89" s="43"/>
      <c r="AG89" s="43"/>
      <c r="AH89" s="43"/>
    </row>
    <row r="90" spans="1:34" customFormat="1" ht="30" x14ac:dyDescent="0.2">
      <c r="A90" s="350" t="s">
        <v>224</v>
      </c>
      <c r="B90" s="23" t="s">
        <v>117</v>
      </c>
      <c r="C90" s="65"/>
      <c r="D90" s="276"/>
      <c r="E90" s="111" t="s">
        <v>363</v>
      </c>
      <c r="F90" s="111" t="s">
        <v>363</v>
      </c>
      <c r="G90" s="111" t="s">
        <v>363</v>
      </c>
      <c r="H90" s="276"/>
      <c r="I90" s="111" t="s">
        <v>363</v>
      </c>
      <c r="J90" s="111" t="s">
        <v>363</v>
      </c>
      <c r="K90" s="111" t="s">
        <v>363</v>
      </c>
      <c r="L90" s="276"/>
      <c r="M90" s="111" t="s">
        <v>363</v>
      </c>
      <c r="N90" s="111" t="s">
        <v>363</v>
      </c>
      <c r="O90" s="111" t="s">
        <v>363</v>
      </c>
      <c r="P90" s="276"/>
      <c r="Q90" s="111" t="s">
        <v>363</v>
      </c>
      <c r="R90" s="111" t="s">
        <v>363</v>
      </c>
      <c r="S90" s="111" t="s">
        <v>363</v>
      </c>
      <c r="T90" s="276"/>
      <c r="U90" s="97" t="s">
        <v>118</v>
      </c>
      <c r="V90" s="1"/>
      <c r="W90" s="79">
        <f>5000000/500</f>
        <v>10000</v>
      </c>
      <c r="X90" s="143">
        <f t="shared" si="6"/>
        <v>5000000</v>
      </c>
      <c r="Y90" s="116"/>
      <c r="Z90" s="42"/>
      <c r="AA90" s="350" t="s">
        <v>25</v>
      </c>
      <c r="AB90" s="43"/>
      <c r="AC90" s="43"/>
      <c r="AD90" s="43"/>
      <c r="AE90" s="43"/>
      <c r="AF90" s="43"/>
      <c r="AG90" s="43"/>
      <c r="AH90" s="43"/>
    </row>
    <row r="91" spans="1:34" customFormat="1" ht="30" x14ac:dyDescent="0.2">
      <c r="A91" s="344"/>
      <c r="B91" s="23" t="s">
        <v>119</v>
      </c>
      <c r="C91" s="65"/>
      <c r="D91" s="276"/>
      <c r="E91" s="111" t="s">
        <v>363</v>
      </c>
      <c r="F91" s="111" t="s">
        <v>363</v>
      </c>
      <c r="G91" s="111" t="s">
        <v>363</v>
      </c>
      <c r="H91" s="276"/>
      <c r="I91" s="111" t="s">
        <v>363</v>
      </c>
      <c r="J91" s="111" t="s">
        <v>363</v>
      </c>
      <c r="K91" s="111" t="s">
        <v>363</v>
      </c>
      <c r="L91" s="276"/>
      <c r="M91" s="111" t="s">
        <v>363</v>
      </c>
      <c r="N91" s="111" t="s">
        <v>363</v>
      </c>
      <c r="O91" s="111" t="s">
        <v>363</v>
      </c>
      <c r="P91" s="276"/>
      <c r="Q91" s="111" t="s">
        <v>363</v>
      </c>
      <c r="R91" s="111" t="s">
        <v>363</v>
      </c>
      <c r="S91" s="111" t="s">
        <v>363</v>
      </c>
      <c r="T91" s="276"/>
      <c r="U91" s="96" t="s">
        <v>120</v>
      </c>
      <c r="V91" s="1"/>
      <c r="W91" s="157">
        <v>0</v>
      </c>
      <c r="X91" s="143">
        <f t="shared" si="6"/>
        <v>0</v>
      </c>
      <c r="Y91" s="116"/>
      <c r="Z91" s="42"/>
      <c r="AA91" s="344"/>
      <c r="AB91" s="43"/>
      <c r="AC91" s="43"/>
      <c r="AD91" s="43"/>
      <c r="AE91" s="43"/>
      <c r="AF91" s="43"/>
      <c r="AG91" s="43"/>
      <c r="AH91" s="43"/>
    </row>
    <row r="92" spans="1:34" customFormat="1" ht="16" x14ac:dyDescent="0.2">
      <c r="A92" s="344"/>
      <c r="B92" s="23" t="s">
        <v>121</v>
      </c>
      <c r="C92" s="65"/>
      <c r="D92" s="276"/>
      <c r="E92" s="111" t="s">
        <v>363</v>
      </c>
      <c r="F92" s="111" t="s">
        <v>363</v>
      </c>
      <c r="G92" s="111" t="s">
        <v>363</v>
      </c>
      <c r="H92" s="276"/>
      <c r="I92" s="111" t="s">
        <v>363</v>
      </c>
      <c r="J92" s="111" t="s">
        <v>363</v>
      </c>
      <c r="K92" s="111" t="s">
        <v>363</v>
      </c>
      <c r="L92" s="276"/>
      <c r="M92" s="111" t="s">
        <v>363</v>
      </c>
      <c r="N92" s="111" t="s">
        <v>363</v>
      </c>
      <c r="O92" s="111" t="s">
        <v>363</v>
      </c>
      <c r="P92" s="276"/>
      <c r="Q92" s="111" t="s">
        <v>363</v>
      </c>
      <c r="R92" s="111" t="s">
        <v>363</v>
      </c>
      <c r="S92" s="111" t="s">
        <v>363</v>
      </c>
      <c r="T92" s="276"/>
      <c r="U92" s="96" t="s">
        <v>122</v>
      </c>
      <c r="V92" s="1"/>
      <c r="W92" s="162">
        <v>0</v>
      </c>
      <c r="X92" s="143">
        <f t="shared" si="6"/>
        <v>0</v>
      </c>
      <c r="Y92" s="116" t="s">
        <v>3</v>
      </c>
      <c r="Z92" s="42"/>
      <c r="AA92" s="344"/>
      <c r="AB92" s="43"/>
      <c r="AC92" s="43"/>
      <c r="AD92" s="43"/>
      <c r="AE92" s="43"/>
      <c r="AF92" s="43"/>
      <c r="AG92" s="43"/>
      <c r="AH92" s="43"/>
    </row>
    <row r="93" spans="1:34" customFormat="1" ht="31.25" customHeight="1" x14ac:dyDescent="0.2">
      <c r="A93" s="345"/>
      <c r="B93" s="23" t="s">
        <v>123</v>
      </c>
      <c r="C93" s="65"/>
      <c r="D93" s="276"/>
      <c r="E93" s="111" t="s">
        <v>363</v>
      </c>
      <c r="F93" s="111" t="s">
        <v>363</v>
      </c>
      <c r="G93" s="111" t="s">
        <v>363</v>
      </c>
      <c r="H93" s="276"/>
      <c r="I93" s="111" t="s">
        <v>363</v>
      </c>
      <c r="J93" s="111" t="s">
        <v>363</v>
      </c>
      <c r="K93" s="111" t="s">
        <v>363</v>
      </c>
      <c r="L93" s="276"/>
      <c r="M93" s="111" t="s">
        <v>363</v>
      </c>
      <c r="N93" s="111" t="s">
        <v>363</v>
      </c>
      <c r="O93" s="111" t="s">
        <v>363</v>
      </c>
      <c r="P93" s="276"/>
      <c r="Q93" s="111" t="s">
        <v>363</v>
      </c>
      <c r="R93" s="111" t="s">
        <v>363</v>
      </c>
      <c r="S93" s="111" t="s">
        <v>363</v>
      </c>
      <c r="T93" s="276"/>
      <c r="U93" s="96" t="s">
        <v>124</v>
      </c>
      <c r="V93" s="1"/>
      <c r="W93" s="157">
        <v>0</v>
      </c>
      <c r="X93" s="143">
        <f t="shared" si="6"/>
        <v>0</v>
      </c>
      <c r="Y93" s="116"/>
      <c r="Z93" s="42"/>
      <c r="AA93" s="345"/>
      <c r="AB93" s="43"/>
      <c r="AC93" s="43"/>
      <c r="AD93" s="43"/>
      <c r="AE93" s="43"/>
      <c r="AF93" s="43"/>
      <c r="AG93" s="43"/>
      <c r="AH93" s="43"/>
    </row>
    <row r="94" spans="1:34" customFormat="1" ht="16" x14ac:dyDescent="0.2">
      <c r="A94" s="350" t="s">
        <v>225</v>
      </c>
      <c r="B94" s="23" t="s">
        <v>177</v>
      </c>
      <c r="C94" s="65"/>
      <c r="D94" s="276"/>
      <c r="E94" s="111" t="s">
        <v>363</v>
      </c>
      <c r="F94" s="111" t="s">
        <v>363</v>
      </c>
      <c r="G94" s="111" t="s">
        <v>363</v>
      </c>
      <c r="H94" s="276"/>
      <c r="I94" s="111" t="s">
        <v>363</v>
      </c>
      <c r="J94" s="111" t="s">
        <v>363</v>
      </c>
      <c r="K94" s="111" t="s">
        <v>363</v>
      </c>
      <c r="L94" s="276"/>
      <c r="M94" s="111" t="s">
        <v>363</v>
      </c>
      <c r="N94" s="111" t="s">
        <v>363</v>
      </c>
      <c r="O94" s="111" t="s">
        <v>363</v>
      </c>
      <c r="P94" s="276"/>
      <c r="Q94" s="111" t="s">
        <v>363</v>
      </c>
      <c r="R94" s="111" t="s">
        <v>363</v>
      </c>
      <c r="S94" s="111" t="s">
        <v>363</v>
      </c>
      <c r="T94" s="276"/>
      <c r="U94" s="255" t="s">
        <v>355</v>
      </c>
      <c r="V94" s="1"/>
      <c r="W94" s="157"/>
      <c r="X94" s="143">
        <f t="shared" si="6"/>
        <v>0</v>
      </c>
      <c r="Y94" s="116"/>
      <c r="Z94" s="42"/>
      <c r="AA94" s="135"/>
      <c r="AB94" s="43"/>
      <c r="AC94" s="43"/>
      <c r="AD94" s="43"/>
      <c r="AE94" s="43"/>
      <c r="AF94" s="43"/>
      <c r="AG94" s="43"/>
      <c r="AH94" s="43"/>
    </row>
    <row r="95" spans="1:34" customFormat="1" ht="16" x14ac:dyDescent="0.2">
      <c r="A95" s="344"/>
      <c r="B95" s="23" t="s">
        <v>175</v>
      </c>
      <c r="C95" s="65"/>
      <c r="D95" s="276"/>
      <c r="E95" s="111" t="s">
        <v>363</v>
      </c>
      <c r="F95" s="111" t="s">
        <v>363</v>
      </c>
      <c r="G95" s="111" t="s">
        <v>363</v>
      </c>
      <c r="H95" s="276"/>
      <c r="I95" s="111" t="s">
        <v>363</v>
      </c>
      <c r="J95" s="111" t="s">
        <v>363</v>
      </c>
      <c r="K95" s="111" t="s">
        <v>363</v>
      </c>
      <c r="L95" s="276"/>
      <c r="M95" s="111" t="s">
        <v>363</v>
      </c>
      <c r="N95" s="111" t="s">
        <v>363</v>
      </c>
      <c r="O95" s="111" t="s">
        <v>363</v>
      </c>
      <c r="P95" s="276"/>
      <c r="Q95" s="111" t="s">
        <v>363</v>
      </c>
      <c r="R95" s="111" t="s">
        <v>363</v>
      </c>
      <c r="S95" s="111" t="s">
        <v>363</v>
      </c>
      <c r="T95" s="276"/>
      <c r="U95" s="289" t="s">
        <v>185</v>
      </c>
      <c r="V95" s="1"/>
      <c r="W95" s="157">
        <f>1000000/500</f>
        <v>2000</v>
      </c>
      <c r="X95" s="143">
        <f t="shared" si="6"/>
        <v>1000000</v>
      </c>
      <c r="Y95" s="116"/>
      <c r="Z95" s="42"/>
      <c r="AA95" s="350" t="s">
        <v>89</v>
      </c>
      <c r="AB95" s="43"/>
      <c r="AC95" s="43"/>
      <c r="AD95" s="43"/>
      <c r="AE95" s="43"/>
      <c r="AF95" s="43"/>
      <c r="AG95" s="43"/>
      <c r="AH95" s="43"/>
    </row>
    <row r="96" spans="1:34" customFormat="1" ht="30" x14ac:dyDescent="0.2">
      <c r="A96" s="345"/>
      <c r="B96" s="23" t="s">
        <v>176</v>
      </c>
      <c r="C96" s="65"/>
      <c r="D96" s="276"/>
      <c r="E96" s="111" t="s">
        <v>363</v>
      </c>
      <c r="F96" s="111" t="s">
        <v>363</v>
      </c>
      <c r="G96" s="111" t="s">
        <v>363</v>
      </c>
      <c r="H96" s="276"/>
      <c r="I96" s="111" t="s">
        <v>363</v>
      </c>
      <c r="J96" s="111" t="s">
        <v>363</v>
      </c>
      <c r="K96" s="111" t="s">
        <v>363</v>
      </c>
      <c r="L96" s="276"/>
      <c r="M96" s="111" t="s">
        <v>363</v>
      </c>
      <c r="N96" s="111" t="s">
        <v>363</v>
      </c>
      <c r="O96" s="111" t="s">
        <v>363</v>
      </c>
      <c r="P96" s="276"/>
      <c r="Q96" s="111" t="s">
        <v>363</v>
      </c>
      <c r="R96" s="111" t="s">
        <v>363</v>
      </c>
      <c r="S96" s="111" t="s">
        <v>363</v>
      </c>
      <c r="T96" s="276"/>
      <c r="U96" s="289" t="s">
        <v>354</v>
      </c>
      <c r="V96" s="1"/>
      <c r="W96" s="157">
        <f>5000000/500</f>
        <v>10000</v>
      </c>
      <c r="X96" s="143">
        <f t="shared" si="6"/>
        <v>5000000</v>
      </c>
      <c r="Y96" s="116"/>
      <c r="Z96" s="42"/>
      <c r="AA96" s="345"/>
      <c r="AB96" s="43"/>
      <c r="AC96" s="43"/>
      <c r="AD96" s="43"/>
      <c r="AE96" s="43"/>
      <c r="AF96" s="43"/>
      <c r="AG96" s="43"/>
      <c r="AH96" s="43"/>
    </row>
    <row r="97" spans="1:34" customFormat="1" ht="15" x14ac:dyDescent="0.2">
      <c r="A97" s="76" t="s">
        <v>125</v>
      </c>
      <c r="B97" s="29"/>
      <c r="C97" s="29"/>
      <c r="D97" s="30"/>
      <c r="E97" s="30"/>
      <c r="F97" s="30"/>
      <c r="G97" s="30"/>
      <c r="H97" s="30"/>
      <c r="I97" s="30"/>
      <c r="J97" s="30"/>
      <c r="K97" s="30"/>
      <c r="L97" s="30"/>
      <c r="M97" s="30"/>
      <c r="N97" s="30"/>
      <c r="O97" s="30"/>
      <c r="P97" s="30"/>
      <c r="Q97" s="30"/>
      <c r="R97" s="30"/>
      <c r="S97" s="30"/>
      <c r="T97" s="30"/>
      <c r="U97" s="136"/>
      <c r="V97" s="29"/>
      <c r="W97" s="160">
        <f>+SUM(W98:W102)</f>
        <v>51000</v>
      </c>
      <c r="X97" s="160">
        <f>+W97*500</f>
        <v>25500000</v>
      </c>
      <c r="Y97" s="82"/>
      <c r="Z97" s="44"/>
      <c r="AA97" s="31"/>
      <c r="AB97" s="43"/>
      <c r="AC97" s="43"/>
      <c r="AD97" s="43"/>
      <c r="AE97" s="43"/>
      <c r="AF97" s="43"/>
      <c r="AG97" s="43"/>
      <c r="AH97" s="43"/>
    </row>
    <row r="98" spans="1:34" customFormat="1" ht="57" customHeight="1" x14ac:dyDescent="0.2">
      <c r="A98" s="77" t="s">
        <v>226</v>
      </c>
      <c r="B98" s="23" t="s">
        <v>356</v>
      </c>
      <c r="C98" s="65"/>
      <c r="D98" s="276"/>
      <c r="E98" s="111" t="s">
        <v>363</v>
      </c>
      <c r="F98" s="111" t="s">
        <v>363</v>
      </c>
      <c r="G98" s="111" t="s">
        <v>363</v>
      </c>
      <c r="H98" s="276"/>
      <c r="I98" s="111" t="s">
        <v>363</v>
      </c>
      <c r="J98" s="111" t="s">
        <v>363</v>
      </c>
      <c r="K98" s="111" t="s">
        <v>363</v>
      </c>
      <c r="L98" s="276"/>
      <c r="M98" s="111" t="s">
        <v>363</v>
      </c>
      <c r="N98" s="111" t="s">
        <v>363</v>
      </c>
      <c r="O98" s="111" t="s">
        <v>363</v>
      </c>
      <c r="P98" s="276"/>
      <c r="Q98" s="111" t="s">
        <v>363</v>
      </c>
      <c r="R98" s="111" t="s">
        <v>363</v>
      </c>
      <c r="S98" s="111" t="s">
        <v>363</v>
      </c>
      <c r="T98" s="276"/>
      <c r="U98" s="97" t="s">
        <v>126</v>
      </c>
      <c r="V98" s="1" t="s">
        <v>3</v>
      </c>
      <c r="W98" s="157">
        <f>4000000/500</f>
        <v>8000</v>
      </c>
      <c r="X98" s="157">
        <f>+W98*500</f>
        <v>4000000</v>
      </c>
      <c r="Y98" s="116"/>
      <c r="Z98" s="42"/>
      <c r="AA98" s="23" t="s">
        <v>25</v>
      </c>
      <c r="AB98" s="43"/>
      <c r="AC98" s="43"/>
      <c r="AD98" s="43"/>
      <c r="AE98" s="43"/>
      <c r="AF98" s="43"/>
      <c r="AG98" s="43"/>
      <c r="AH98" s="43"/>
    </row>
    <row r="99" spans="1:34" customFormat="1" ht="45" x14ac:dyDescent="0.2">
      <c r="A99" s="72" t="s">
        <v>357</v>
      </c>
      <c r="B99" s="23" t="s">
        <v>358</v>
      </c>
      <c r="C99" s="65"/>
      <c r="D99" s="276"/>
      <c r="E99" s="1"/>
      <c r="F99" s="1"/>
      <c r="G99" s="1"/>
      <c r="H99" s="276"/>
      <c r="I99" s="111" t="s">
        <v>363</v>
      </c>
      <c r="J99" s="111" t="s">
        <v>363</v>
      </c>
      <c r="K99" s="111" t="s">
        <v>363</v>
      </c>
      <c r="L99" s="276"/>
      <c r="M99" s="1"/>
      <c r="N99" s="1"/>
      <c r="O99" s="1"/>
      <c r="P99" s="276"/>
      <c r="Q99" s="1"/>
      <c r="R99" s="1"/>
      <c r="S99" s="1"/>
      <c r="T99" s="276"/>
      <c r="U99" s="287"/>
      <c r="V99" s="1"/>
      <c r="W99" s="152">
        <v>24000</v>
      </c>
      <c r="X99" s="157">
        <f t="shared" ref="X99:X102" si="7">+W99*500</f>
        <v>12000000</v>
      </c>
      <c r="Y99" s="116"/>
      <c r="Z99" s="42"/>
      <c r="AA99" s="236"/>
      <c r="AB99" s="43"/>
      <c r="AC99" s="43"/>
      <c r="AD99" s="43"/>
      <c r="AE99" s="43"/>
      <c r="AF99" s="43"/>
      <c r="AG99" s="43"/>
      <c r="AH99" s="43"/>
    </row>
    <row r="100" spans="1:34" s="40" customFormat="1" ht="45" x14ac:dyDescent="0.2">
      <c r="A100" s="95" t="s">
        <v>201</v>
      </c>
      <c r="B100" s="23" t="s">
        <v>373</v>
      </c>
      <c r="C100" s="65"/>
      <c r="D100" s="276"/>
      <c r="E100" s="111" t="s">
        <v>363</v>
      </c>
      <c r="F100" s="111" t="s">
        <v>363</v>
      </c>
      <c r="G100" s="111" t="s">
        <v>363</v>
      </c>
      <c r="H100" s="276"/>
      <c r="I100" s="111" t="s">
        <v>363</v>
      </c>
      <c r="J100" s="111" t="s">
        <v>363</v>
      </c>
      <c r="K100" s="111" t="s">
        <v>363</v>
      </c>
      <c r="L100" s="276"/>
      <c r="M100" s="111" t="s">
        <v>363</v>
      </c>
      <c r="N100" s="111" t="s">
        <v>363</v>
      </c>
      <c r="O100" s="111" t="s">
        <v>363</v>
      </c>
      <c r="P100" s="276"/>
      <c r="Q100" s="111" t="s">
        <v>363</v>
      </c>
      <c r="R100" s="111" t="s">
        <v>363</v>
      </c>
      <c r="S100" s="111" t="s">
        <v>363</v>
      </c>
      <c r="T100" s="276"/>
      <c r="U100" s="97" t="s">
        <v>374</v>
      </c>
      <c r="V100" s="23"/>
      <c r="W100" s="152">
        <f>6500000/500</f>
        <v>13000</v>
      </c>
      <c r="X100" s="143">
        <f t="shared" si="7"/>
        <v>6500000</v>
      </c>
      <c r="Y100" s="116"/>
      <c r="Z100" s="49"/>
      <c r="AA100" s="23" t="s">
        <v>25</v>
      </c>
      <c r="AB100" s="39"/>
      <c r="AC100" s="39"/>
      <c r="AD100" s="39"/>
      <c r="AE100" s="39"/>
      <c r="AF100" s="39"/>
      <c r="AG100" s="39"/>
      <c r="AH100" s="39"/>
    </row>
    <row r="101" spans="1:34" s="40" customFormat="1" ht="30" x14ac:dyDescent="0.2">
      <c r="A101" s="357" t="s">
        <v>227</v>
      </c>
      <c r="B101" s="66" t="s">
        <v>163</v>
      </c>
      <c r="C101" s="66"/>
      <c r="D101" s="276"/>
      <c r="E101" s="111" t="s">
        <v>363</v>
      </c>
      <c r="F101" s="111" t="s">
        <v>363</v>
      </c>
      <c r="G101" s="111" t="s">
        <v>363</v>
      </c>
      <c r="H101" s="276"/>
      <c r="I101" s="111" t="s">
        <v>363</v>
      </c>
      <c r="J101" s="111" t="s">
        <v>363</v>
      </c>
      <c r="K101" s="111" t="s">
        <v>363</v>
      </c>
      <c r="L101" s="276"/>
      <c r="M101" s="111" t="s">
        <v>363</v>
      </c>
      <c r="N101" s="111" t="s">
        <v>363</v>
      </c>
      <c r="O101" s="111" t="s">
        <v>363</v>
      </c>
      <c r="P101" s="276"/>
      <c r="Q101" s="111" t="s">
        <v>363</v>
      </c>
      <c r="R101" s="111" t="s">
        <v>363</v>
      </c>
      <c r="S101" s="111" t="s">
        <v>363</v>
      </c>
      <c r="T101" s="276"/>
      <c r="U101" s="144"/>
      <c r="V101" s="66"/>
      <c r="W101" s="79"/>
      <c r="X101" s="157">
        <f t="shared" si="7"/>
        <v>0</v>
      </c>
      <c r="Y101" s="116"/>
      <c r="Z101" s="147"/>
      <c r="AA101" s="148"/>
      <c r="AB101" s="39"/>
      <c r="AC101" s="39"/>
      <c r="AD101" s="39"/>
      <c r="AE101" s="39"/>
      <c r="AF101" s="39"/>
      <c r="AG101" s="39"/>
      <c r="AH101" s="39"/>
    </row>
    <row r="102" spans="1:34" s="40" customFormat="1" ht="16" x14ac:dyDescent="0.2">
      <c r="A102" s="358"/>
      <c r="B102" s="66" t="s">
        <v>228</v>
      </c>
      <c r="C102" s="66"/>
      <c r="D102" s="276"/>
      <c r="E102" s="111" t="s">
        <v>363</v>
      </c>
      <c r="F102" s="111" t="s">
        <v>363</v>
      </c>
      <c r="G102" s="111" t="s">
        <v>363</v>
      </c>
      <c r="H102" s="276"/>
      <c r="I102" s="111" t="s">
        <v>363</v>
      </c>
      <c r="J102" s="111" t="s">
        <v>363</v>
      </c>
      <c r="K102" s="111" t="s">
        <v>363</v>
      </c>
      <c r="L102" s="276"/>
      <c r="M102" s="111" t="s">
        <v>363</v>
      </c>
      <c r="N102" s="111" t="s">
        <v>363</v>
      </c>
      <c r="O102" s="111" t="s">
        <v>363</v>
      </c>
      <c r="P102" s="276"/>
      <c r="Q102" s="111" t="s">
        <v>363</v>
      </c>
      <c r="R102" s="111" t="s">
        <v>363</v>
      </c>
      <c r="S102" s="111" t="s">
        <v>363</v>
      </c>
      <c r="T102" s="276"/>
      <c r="U102" s="144"/>
      <c r="V102" s="66"/>
      <c r="W102" s="143">
        <f>3000000/500</f>
        <v>6000</v>
      </c>
      <c r="X102" s="157">
        <f t="shared" si="7"/>
        <v>3000000</v>
      </c>
      <c r="Y102" s="116"/>
      <c r="Z102" s="147"/>
      <c r="AA102" s="148"/>
      <c r="AB102" s="39"/>
      <c r="AC102" s="39"/>
      <c r="AD102" s="39"/>
      <c r="AE102" s="39"/>
      <c r="AF102" s="39"/>
      <c r="AG102" s="39"/>
      <c r="AH102" s="39"/>
    </row>
    <row r="103" spans="1:34" customFormat="1" ht="15" x14ac:dyDescent="0.2">
      <c r="A103" s="74" t="s">
        <v>127</v>
      </c>
      <c r="B103" s="9"/>
      <c r="C103" s="9"/>
      <c r="D103" s="10"/>
      <c r="E103" s="10"/>
      <c r="F103" s="10"/>
      <c r="G103" s="10"/>
      <c r="H103" s="10"/>
      <c r="I103" s="10"/>
      <c r="J103" s="10"/>
      <c r="K103" s="10"/>
      <c r="L103" s="10"/>
      <c r="M103" s="10"/>
      <c r="N103" s="10"/>
      <c r="O103" s="10"/>
      <c r="P103" s="10"/>
      <c r="Q103" s="10"/>
      <c r="R103" s="10"/>
      <c r="S103" s="10"/>
      <c r="T103" s="10"/>
      <c r="U103" s="108"/>
      <c r="V103" s="9"/>
      <c r="W103" s="153">
        <f>+W104+W111</f>
        <v>178000</v>
      </c>
      <c r="X103" s="153">
        <f>+W103*500</f>
        <v>89000000</v>
      </c>
      <c r="Y103" s="28"/>
      <c r="Z103" s="50"/>
      <c r="AA103" s="27"/>
      <c r="AB103" s="43"/>
      <c r="AC103" s="43"/>
      <c r="AD103" s="43"/>
      <c r="AE103" s="43"/>
      <c r="AF103" s="43"/>
      <c r="AG103" s="43"/>
      <c r="AH103" s="43"/>
    </row>
    <row r="104" spans="1:34" s="53" customFormat="1" ht="15" x14ac:dyDescent="0.2">
      <c r="A104" s="367" t="s">
        <v>128</v>
      </c>
      <c r="B104" s="368"/>
      <c r="C104" s="137"/>
      <c r="D104" s="51"/>
      <c r="E104" s="51"/>
      <c r="F104" s="51"/>
      <c r="G104" s="51"/>
      <c r="H104" s="51"/>
      <c r="I104" s="51"/>
      <c r="J104" s="51"/>
      <c r="K104" s="51"/>
      <c r="L104" s="51"/>
      <c r="M104" s="51"/>
      <c r="N104" s="51"/>
      <c r="O104" s="51"/>
      <c r="P104" s="51"/>
      <c r="Q104" s="51"/>
      <c r="R104" s="51"/>
      <c r="S104" s="51"/>
      <c r="T104" s="51"/>
      <c r="U104" s="137"/>
      <c r="V104" s="37"/>
      <c r="W104" s="158">
        <f>+SUM(W105:W110)</f>
        <v>138000</v>
      </c>
      <c r="X104" s="158">
        <f>+W104*500</f>
        <v>69000000</v>
      </c>
      <c r="Y104" s="80"/>
      <c r="Z104" s="80"/>
      <c r="AA104" s="38"/>
      <c r="AB104" s="52"/>
      <c r="AC104" s="52"/>
      <c r="AD104" s="52"/>
      <c r="AE104" s="52"/>
      <c r="AF104" s="52"/>
      <c r="AG104" s="52"/>
      <c r="AH104" s="52"/>
    </row>
    <row r="105" spans="1:34" s="53" customFormat="1" ht="16" x14ac:dyDescent="0.2">
      <c r="A105" s="372" t="s">
        <v>229</v>
      </c>
      <c r="B105" s="23" t="s">
        <v>375</v>
      </c>
      <c r="C105" s="65"/>
      <c r="D105" s="276"/>
      <c r="E105" s="23"/>
      <c r="F105" s="23"/>
      <c r="G105" s="23"/>
      <c r="H105" s="276"/>
      <c r="I105" s="23"/>
      <c r="J105" s="23"/>
      <c r="K105" s="23"/>
      <c r="L105" s="276"/>
      <c r="M105" s="111" t="s">
        <v>363</v>
      </c>
      <c r="N105" s="111" t="s">
        <v>363</v>
      </c>
      <c r="O105" s="111" t="s">
        <v>363</v>
      </c>
      <c r="P105" s="276"/>
      <c r="Q105" s="111" t="s">
        <v>363</v>
      </c>
      <c r="R105" s="111" t="s">
        <v>363</v>
      </c>
      <c r="S105" s="111" t="s">
        <v>363</v>
      </c>
      <c r="T105" s="276"/>
      <c r="U105" s="351" t="s">
        <v>129</v>
      </c>
      <c r="V105" s="88"/>
      <c r="W105" s="162"/>
      <c r="X105" s="162">
        <f>+W105*500</f>
        <v>0</v>
      </c>
      <c r="Y105" s="116"/>
      <c r="Z105" s="91"/>
      <c r="AA105" s="344"/>
      <c r="AB105" s="52"/>
      <c r="AC105" s="52"/>
      <c r="AD105" s="52"/>
      <c r="AE105" s="52"/>
      <c r="AF105" s="52"/>
      <c r="AG105" s="52"/>
      <c r="AH105" s="52"/>
    </row>
    <row r="106" spans="1:34" s="53" customFormat="1" ht="30" x14ac:dyDescent="0.2">
      <c r="A106" s="373"/>
      <c r="B106" s="23" t="s">
        <v>131</v>
      </c>
      <c r="C106" s="65"/>
      <c r="D106" s="276"/>
      <c r="E106" s="23"/>
      <c r="F106" s="23"/>
      <c r="G106" s="23"/>
      <c r="H106" s="276"/>
      <c r="I106" s="23"/>
      <c r="J106" s="23"/>
      <c r="K106" s="23"/>
      <c r="L106" s="276"/>
      <c r="M106" s="111" t="s">
        <v>363</v>
      </c>
      <c r="N106" s="111" t="s">
        <v>363</v>
      </c>
      <c r="O106" s="111" t="s">
        <v>363</v>
      </c>
      <c r="P106" s="276"/>
      <c r="Q106" s="111" t="s">
        <v>363</v>
      </c>
      <c r="R106" s="111" t="s">
        <v>363</v>
      </c>
      <c r="S106" s="111" t="s">
        <v>363</v>
      </c>
      <c r="T106" s="276"/>
      <c r="U106" s="352"/>
      <c r="V106" s="88"/>
      <c r="W106" s="256">
        <f>20000000/500</f>
        <v>40000</v>
      </c>
      <c r="X106" s="194">
        <f t="shared" ref="X106:X110" si="8">+W106*500</f>
        <v>20000000</v>
      </c>
      <c r="Y106" s="116"/>
      <c r="Z106" s="114"/>
      <c r="AA106" s="345"/>
      <c r="AB106" s="52"/>
      <c r="AC106" s="52"/>
      <c r="AD106" s="52"/>
      <c r="AE106" s="52"/>
      <c r="AF106" s="52"/>
      <c r="AG106" s="52"/>
      <c r="AH106" s="52"/>
    </row>
    <row r="107" spans="1:34" customFormat="1" ht="38.5" customHeight="1" x14ac:dyDescent="0.2">
      <c r="A107" s="374"/>
      <c r="B107" s="23" t="s">
        <v>132</v>
      </c>
      <c r="C107" s="65"/>
      <c r="D107" s="276"/>
      <c r="E107" s="23"/>
      <c r="F107" s="23"/>
      <c r="G107" s="23"/>
      <c r="H107" s="276"/>
      <c r="I107" s="23"/>
      <c r="J107" s="23"/>
      <c r="K107" s="23"/>
      <c r="L107" s="276"/>
      <c r="M107" s="111" t="s">
        <v>363</v>
      </c>
      <c r="N107" s="111" t="s">
        <v>363</v>
      </c>
      <c r="O107" s="111" t="s">
        <v>363</v>
      </c>
      <c r="P107" s="276"/>
      <c r="Q107" s="111" t="s">
        <v>363</v>
      </c>
      <c r="R107" s="111" t="s">
        <v>363</v>
      </c>
      <c r="S107" s="111" t="s">
        <v>363</v>
      </c>
      <c r="T107" s="276"/>
      <c r="U107" s="363"/>
      <c r="V107" s="1"/>
      <c r="W107" s="162"/>
      <c r="X107" s="194">
        <f t="shared" si="8"/>
        <v>0</v>
      </c>
      <c r="Y107" s="116"/>
      <c r="Z107" s="42"/>
      <c r="AA107" s="23" t="s">
        <v>25</v>
      </c>
      <c r="AB107" s="43"/>
      <c r="AC107" s="43"/>
      <c r="AD107" s="43"/>
      <c r="AE107" s="43"/>
      <c r="AF107" s="43"/>
      <c r="AG107" s="43"/>
      <c r="AH107" s="43"/>
    </row>
    <row r="108" spans="1:34" customFormat="1" ht="60" x14ac:dyDescent="0.2">
      <c r="A108" s="72" t="s">
        <v>197</v>
      </c>
      <c r="B108" s="23" t="s">
        <v>133</v>
      </c>
      <c r="C108" s="65"/>
      <c r="D108" s="276"/>
      <c r="E108" s="1"/>
      <c r="F108" s="1"/>
      <c r="G108" s="1"/>
      <c r="H108" s="276"/>
      <c r="I108" s="1"/>
      <c r="J108" s="1"/>
      <c r="K108" s="1"/>
      <c r="L108" s="276"/>
      <c r="M108" s="1"/>
      <c r="N108" s="111" t="s">
        <v>363</v>
      </c>
      <c r="O108" s="111" t="s">
        <v>363</v>
      </c>
      <c r="P108" s="276"/>
      <c r="Q108" s="1"/>
      <c r="R108" s="1"/>
      <c r="S108" s="1"/>
      <c r="T108" s="276"/>
      <c r="U108" s="288"/>
      <c r="V108" s="1"/>
      <c r="W108" s="157">
        <f>20000000/500</f>
        <v>40000</v>
      </c>
      <c r="X108" s="194">
        <f t="shared" si="8"/>
        <v>20000000</v>
      </c>
      <c r="Y108" s="116"/>
      <c r="Z108" s="42"/>
      <c r="AA108" s="134"/>
      <c r="AB108" s="43"/>
      <c r="AC108" s="43"/>
      <c r="AD108" s="43"/>
      <c r="AE108" s="43"/>
      <c r="AF108" s="43"/>
      <c r="AG108" s="43"/>
      <c r="AH108" s="43"/>
    </row>
    <row r="109" spans="1:34" customFormat="1" ht="56.5" customHeight="1" x14ac:dyDescent="0.2">
      <c r="A109" s="72" t="s">
        <v>198</v>
      </c>
      <c r="B109" s="23" t="s">
        <v>133</v>
      </c>
      <c r="C109" s="266"/>
      <c r="D109" s="276"/>
      <c r="E109" s="1"/>
      <c r="F109" s="1"/>
      <c r="G109" s="1"/>
      <c r="H109" s="276"/>
      <c r="I109" s="1"/>
      <c r="J109" s="1"/>
      <c r="K109" s="1"/>
      <c r="L109" s="276"/>
      <c r="M109" s="1"/>
      <c r="N109" s="111" t="s">
        <v>363</v>
      </c>
      <c r="O109" s="111" t="s">
        <v>363</v>
      </c>
      <c r="P109" s="276"/>
      <c r="Q109" s="1"/>
      <c r="R109" s="1"/>
      <c r="S109" s="1"/>
      <c r="T109" s="276"/>
      <c r="U109" s="96" t="s">
        <v>200</v>
      </c>
      <c r="V109" s="89"/>
      <c r="W109" s="157">
        <f>20000000/500</f>
        <v>40000</v>
      </c>
      <c r="X109" s="194">
        <f t="shared" si="8"/>
        <v>20000000</v>
      </c>
      <c r="Y109" s="116"/>
      <c r="Z109" s="90"/>
      <c r="AA109" s="179" t="s">
        <v>25</v>
      </c>
      <c r="AB109" s="43"/>
      <c r="AC109" s="43"/>
      <c r="AD109" s="43"/>
      <c r="AE109" s="43"/>
      <c r="AF109" s="43"/>
      <c r="AG109" s="43"/>
      <c r="AH109" s="43"/>
    </row>
    <row r="110" spans="1:34" customFormat="1" ht="60" x14ac:dyDescent="0.2">
      <c r="A110" s="72" t="s">
        <v>199</v>
      </c>
      <c r="B110" s="23" t="s">
        <v>359</v>
      </c>
      <c r="C110" s="65"/>
      <c r="D110" s="276"/>
      <c r="E110" s="111" t="s">
        <v>363</v>
      </c>
      <c r="F110" s="111" t="s">
        <v>363</v>
      </c>
      <c r="G110" s="111" t="s">
        <v>363</v>
      </c>
      <c r="H110" s="276"/>
      <c r="I110" s="111" t="s">
        <v>363</v>
      </c>
      <c r="J110" s="111" t="s">
        <v>363</v>
      </c>
      <c r="K110" s="111" t="s">
        <v>363</v>
      </c>
      <c r="L110" s="276"/>
      <c r="M110" s="111" t="s">
        <v>363</v>
      </c>
      <c r="N110" s="111" t="s">
        <v>363</v>
      </c>
      <c r="O110" s="111" t="s">
        <v>363</v>
      </c>
      <c r="P110" s="276"/>
      <c r="Q110" s="111" t="s">
        <v>363</v>
      </c>
      <c r="R110" s="111" t="s">
        <v>363</v>
      </c>
      <c r="S110" s="111" t="s">
        <v>363</v>
      </c>
      <c r="T110" s="276"/>
      <c r="U110" s="148" t="s">
        <v>134</v>
      </c>
      <c r="V110" s="1"/>
      <c r="W110" s="157">
        <f>9000000/500</f>
        <v>18000</v>
      </c>
      <c r="X110" s="194">
        <f t="shared" si="8"/>
        <v>9000000</v>
      </c>
      <c r="Y110" s="116"/>
      <c r="Z110" s="85"/>
      <c r="AA110" s="134"/>
      <c r="AB110" s="43"/>
      <c r="AC110" s="43"/>
      <c r="AD110" s="43"/>
      <c r="AE110" s="43"/>
      <c r="AF110" s="43"/>
      <c r="AG110" s="43"/>
      <c r="AH110" s="43"/>
    </row>
    <row r="111" spans="1:34" customFormat="1" ht="15" x14ac:dyDescent="0.2">
      <c r="A111" s="359" t="s">
        <v>135</v>
      </c>
      <c r="B111" s="371"/>
      <c r="C111" s="136"/>
      <c r="D111" s="54"/>
      <c r="E111" s="54"/>
      <c r="F111" s="54"/>
      <c r="G111" s="54"/>
      <c r="H111" s="54"/>
      <c r="I111" s="54"/>
      <c r="J111" s="54"/>
      <c r="K111" s="54"/>
      <c r="L111" s="54"/>
      <c r="M111" s="54"/>
      <c r="N111" s="54"/>
      <c r="O111" s="54"/>
      <c r="P111" s="54"/>
      <c r="Q111" s="54"/>
      <c r="R111" s="54"/>
      <c r="S111" s="54"/>
      <c r="T111" s="54"/>
      <c r="U111" s="138"/>
      <c r="V111" s="54"/>
      <c r="W111" s="166">
        <f>+SUM(W112:W120)</f>
        <v>40000</v>
      </c>
      <c r="X111" s="166">
        <f>+W111*500</f>
        <v>20000000</v>
      </c>
      <c r="Y111" s="141"/>
      <c r="Z111" s="141"/>
      <c r="AA111" s="54"/>
      <c r="AB111" s="43"/>
      <c r="AC111" s="43"/>
      <c r="AD111" s="43"/>
      <c r="AE111" s="43"/>
      <c r="AF111" s="43"/>
      <c r="AG111" s="43"/>
      <c r="AH111" s="43"/>
    </row>
    <row r="112" spans="1:34" customFormat="1" ht="75" x14ac:dyDescent="0.2">
      <c r="A112" s="72" t="s">
        <v>230</v>
      </c>
      <c r="B112" s="23" t="s">
        <v>360</v>
      </c>
      <c r="C112" s="65"/>
      <c r="D112" s="276"/>
      <c r="E112" s="111" t="s">
        <v>363</v>
      </c>
      <c r="F112" s="111" t="s">
        <v>363</v>
      </c>
      <c r="G112" s="111" t="s">
        <v>363</v>
      </c>
      <c r="H112" s="276"/>
      <c r="I112" s="111" t="s">
        <v>363</v>
      </c>
      <c r="J112" s="111" t="s">
        <v>363</v>
      </c>
      <c r="K112" s="111" t="s">
        <v>363</v>
      </c>
      <c r="L112" s="276"/>
      <c r="M112" s="111" t="s">
        <v>363</v>
      </c>
      <c r="N112" s="111" t="s">
        <v>363</v>
      </c>
      <c r="O112" s="111" t="s">
        <v>363</v>
      </c>
      <c r="P112" s="276"/>
      <c r="Q112" s="111" t="s">
        <v>363</v>
      </c>
      <c r="R112" s="111" t="s">
        <v>363</v>
      </c>
      <c r="S112" s="111" t="s">
        <v>363</v>
      </c>
      <c r="T112" s="276"/>
      <c r="U112" s="97" t="s">
        <v>187</v>
      </c>
      <c r="V112" s="1"/>
      <c r="W112" s="177">
        <f>10000000/500</f>
        <v>20000</v>
      </c>
      <c r="X112" s="165">
        <f t="shared" ref="X112:X120" si="9">+W112*500</f>
        <v>10000000</v>
      </c>
      <c r="Y112" s="116"/>
      <c r="Z112" s="42"/>
      <c r="AA112" s="134"/>
      <c r="AB112" s="43"/>
      <c r="AC112" s="43"/>
      <c r="AD112" s="43"/>
      <c r="AE112" s="43"/>
      <c r="AF112" s="43"/>
      <c r="AG112" s="43"/>
      <c r="AH112" s="43"/>
    </row>
    <row r="113" spans="1:34" customFormat="1" ht="30" x14ac:dyDescent="0.2">
      <c r="A113" s="375" t="s">
        <v>231</v>
      </c>
      <c r="B113" s="23" t="s">
        <v>188</v>
      </c>
      <c r="C113" s="65"/>
      <c r="D113" s="276"/>
      <c r="E113" s="111" t="s">
        <v>363</v>
      </c>
      <c r="F113" s="111" t="s">
        <v>363</v>
      </c>
      <c r="G113" s="111" t="s">
        <v>363</v>
      </c>
      <c r="H113" s="276"/>
      <c r="I113" s="111" t="s">
        <v>363</v>
      </c>
      <c r="J113" s="111" t="s">
        <v>363</v>
      </c>
      <c r="K113" s="111" t="s">
        <v>363</v>
      </c>
      <c r="L113" s="276"/>
      <c r="M113" s="111" t="s">
        <v>363</v>
      </c>
      <c r="N113" s="111" t="s">
        <v>363</v>
      </c>
      <c r="O113" s="111" t="s">
        <v>363</v>
      </c>
      <c r="P113" s="276"/>
      <c r="Q113" s="111" t="s">
        <v>363</v>
      </c>
      <c r="R113" s="111" t="s">
        <v>363</v>
      </c>
      <c r="S113" s="111" t="s">
        <v>363</v>
      </c>
      <c r="T113" s="276"/>
      <c r="U113" s="351" t="s">
        <v>362</v>
      </c>
      <c r="V113" s="1"/>
      <c r="W113" s="167"/>
      <c r="X113" s="165">
        <f t="shared" si="9"/>
        <v>0</v>
      </c>
      <c r="Y113" s="116"/>
      <c r="Z113" s="42"/>
      <c r="AA113" s="321" t="s">
        <v>130</v>
      </c>
      <c r="AB113" s="43"/>
      <c r="AC113" s="43"/>
      <c r="AD113" s="43"/>
      <c r="AE113" s="43"/>
      <c r="AF113" s="43"/>
      <c r="AG113" s="43"/>
      <c r="AH113" s="43"/>
    </row>
    <row r="114" spans="1:34" customFormat="1" ht="16" x14ac:dyDescent="0.2">
      <c r="A114" s="376"/>
      <c r="B114" s="23" t="s">
        <v>165</v>
      </c>
      <c r="C114" s="65"/>
      <c r="D114" s="276"/>
      <c r="E114" s="111" t="s">
        <v>363</v>
      </c>
      <c r="F114" s="111" t="s">
        <v>363</v>
      </c>
      <c r="G114" s="111" t="s">
        <v>363</v>
      </c>
      <c r="H114" s="276"/>
      <c r="I114" s="111" t="s">
        <v>363</v>
      </c>
      <c r="J114" s="111" t="s">
        <v>363</v>
      </c>
      <c r="K114" s="111" t="s">
        <v>363</v>
      </c>
      <c r="L114" s="276"/>
      <c r="M114" s="111" t="s">
        <v>363</v>
      </c>
      <c r="N114" s="111" t="s">
        <v>363</v>
      </c>
      <c r="O114" s="111" t="s">
        <v>363</v>
      </c>
      <c r="P114" s="276"/>
      <c r="Q114" s="111" t="s">
        <v>363</v>
      </c>
      <c r="R114" s="111" t="s">
        <v>363</v>
      </c>
      <c r="S114" s="111" t="s">
        <v>363</v>
      </c>
      <c r="T114" s="276"/>
      <c r="U114" s="352"/>
      <c r="V114" s="1"/>
      <c r="W114" s="167"/>
      <c r="X114" s="165">
        <f t="shared" si="9"/>
        <v>0</v>
      </c>
      <c r="Y114" s="116"/>
      <c r="Z114" s="42"/>
      <c r="AA114" s="322"/>
      <c r="AB114" s="43"/>
      <c r="AC114" s="43"/>
      <c r="AD114" s="43"/>
      <c r="AE114" s="43"/>
      <c r="AF114" s="43"/>
      <c r="AG114" s="43"/>
      <c r="AH114" s="43"/>
    </row>
    <row r="115" spans="1:34" customFormat="1" ht="45" x14ac:dyDescent="0.2">
      <c r="A115" s="377"/>
      <c r="B115" s="23" t="s">
        <v>361</v>
      </c>
      <c r="C115" s="65"/>
      <c r="D115" s="276"/>
      <c r="E115" s="111" t="s">
        <v>363</v>
      </c>
      <c r="F115" s="111" t="s">
        <v>363</v>
      </c>
      <c r="G115" s="111" t="s">
        <v>363</v>
      </c>
      <c r="H115" s="276"/>
      <c r="I115" s="111" t="s">
        <v>363</v>
      </c>
      <c r="J115" s="111" t="s">
        <v>363</v>
      </c>
      <c r="K115" s="111" t="s">
        <v>363</v>
      </c>
      <c r="L115" s="276"/>
      <c r="M115" s="111" t="s">
        <v>363</v>
      </c>
      <c r="N115" s="111" t="s">
        <v>363</v>
      </c>
      <c r="O115" s="111" t="s">
        <v>363</v>
      </c>
      <c r="P115" s="276"/>
      <c r="Q115" s="111" t="s">
        <v>363</v>
      </c>
      <c r="R115" s="111" t="s">
        <v>363</v>
      </c>
      <c r="S115" s="111" t="s">
        <v>363</v>
      </c>
      <c r="T115" s="276"/>
      <c r="U115" s="363"/>
      <c r="V115" s="1"/>
      <c r="W115" s="178">
        <f>2000000/500</f>
        <v>4000</v>
      </c>
      <c r="X115" s="165">
        <f t="shared" si="9"/>
        <v>2000000</v>
      </c>
      <c r="Y115" s="116"/>
      <c r="Z115" s="42"/>
      <c r="AA115" s="323"/>
      <c r="AB115" s="43"/>
      <c r="AC115" s="43"/>
      <c r="AD115" s="43"/>
      <c r="AE115" s="43"/>
      <c r="AF115" s="43"/>
      <c r="AG115" s="43"/>
      <c r="AH115" s="43"/>
    </row>
    <row r="116" spans="1:34" customFormat="1" ht="14.5" customHeight="1" x14ac:dyDescent="0.2">
      <c r="A116" s="321" t="s">
        <v>232</v>
      </c>
      <c r="B116" s="23" t="s">
        <v>191</v>
      </c>
      <c r="C116" s="65"/>
      <c r="D116" s="276"/>
      <c r="E116" s="111" t="s">
        <v>363</v>
      </c>
      <c r="F116" s="111" t="s">
        <v>363</v>
      </c>
      <c r="G116" s="111" t="s">
        <v>363</v>
      </c>
      <c r="H116" s="276"/>
      <c r="I116" s="111" t="s">
        <v>363</v>
      </c>
      <c r="J116" s="111" t="s">
        <v>363</v>
      </c>
      <c r="K116" s="111" t="s">
        <v>363</v>
      </c>
      <c r="L116" s="276"/>
      <c r="M116" s="111" t="s">
        <v>363</v>
      </c>
      <c r="N116" s="111" t="s">
        <v>363</v>
      </c>
      <c r="O116" s="111" t="s">
        <v>363</v>
      </c>
      <c r="P116" s="276"/>
      <c r="Q116" s="111" t="s">
        <v>363</v>
      </c>
      <c r="R116" s="111" t="s">
        <v>363</v>
      </c>
      <c r="S116" s="111" t="s">
        <v>363</v>
      </c>
      <c r="T116" s="276"/>
      <c r="U116" s="351" t="s">
        <v>189</v>
      </c>
      <c r="V116" s="1"/>
      <c r="W116" s="157"/>
      <c r="X116" s="165">
        <f t="shared" si="9"/>
        <v>0</v>
      </c>
      <c r="Y116" s="116"/>
      <c r="Z116" s="42"/>
      <c r="AA116" s="321" t="s">
        <v>130</v>
      </c>
      <c r="AB116" s="43"/>
      <c r="AC116" s="43"/>
      <c r="AD116" s="43"/>
      <c r="AE116" s="43"/>
      <c r="AF116" s="43"/>
      <c r="AG116" s="43"/>
      <c r="AH116" s="43"/>
    </row>
    <row r="117" spans="1:34" customFormat="1" ht="16" x14ac:dyDescent="0.2">
      <c r="A117" s="322"/>
      <c r="B117" s="23" t="s">
        <v>192</v>
      </c>
      <c r="C117" s="65"/>
      <c r="D117" s="276" t="s">
        <v>3</v>
      </c>
      <c r="E117" s="111" t="s">
        <v>363</v>
      </c>
      <c r="F117" s="111" t="s">
        <v>363</v>
      </c>
      <c r="G117" s="111" t="s">
        <v>363</v>
      </c>
      <c r="H117" s="276"/>
      <c r="I117" s="111" t="s">
        <v>363</v>
      </c>
      <c r="J117" s="111" t="s">
        <v>363</v>
      </c>
      <c r="K117" s="111" t="s">
        <v>363</v>
      </c>
      <c r="L117" s="276"/>
      <c r="M117" s="111" t="s">
        <v>363</v>
      </c>
      <c r="N117" s="111" t="s">
        <v>363</v>
      </c>
      <c r="O117" s="111" t="s">
        <v>363</v>
      </c>
      <c r="P117" s="276"/>
      <c r="Q117" s="111" t="s">
        <v>363</v>
      </c>
      <c r="R117" s="111" t="s">
        <v>363</v>
      </c>
      <c r="S117" s="111" t="s">
        <v>363</v>
      </c>
      <c r="T117" s="276"/>
      <c r="U117" s="352"/>
      <c r="V117" s="1"/>
      <c r="W117" s="157"/>
      <c r="X117" s="165">
        <f t="shared" si="9"/>
        <v>0</v>
      </c>
      <c r="Y117" s="116"/>
      <c r="Z117" s="42"/>
      <c r="AA117" s="322"/>
      <c r="AB117" s="43"/>
      <c r="AC117" s="43"/>
      <c r="AD117" s="43"/>
      <c r="AE117" s="43"/>
      <c r="AF117" s="43"/>
      <c r="AG117" s="43"/>
      <c r="AH117" s="43"/>
    </row>
    <row r="118" spans="1:34" customFormat="1" ht="16" x14ac:dyDescent="0.2">
      <c r="A118" s="322"/>
      <c r="B118" s="23" t="s">
        <v>190</v>
      </c>
      <c r="C118" s="65"/>
      <c r="D118" s="276"/>
      <c r="E118" s="111" t="s">
        <v>363</v>
      </c>
      <c r="F118" s="111" t="s">
        <v>363</v>
      </c>
      <c r="G118" s="111" t="s">
        <v>363</v>
      </c>
      <c r="H118" s="276"/>
      <c r="I118" s="111" t="s">
        <v>363</v>
      </c>
      <c r="J118" s="111" t="s">
        <v>363</v>
      </c>
      <c r="K118" s="111" t="s">
        <v>363</v>
      </c>
      <c r="L118" s="276"/>
      <c r="M118" s="111" t="s">
        <v>363</v>
      </c>
      <c r="N118" s="111" t="s">
        <v>363</v>
      </c>
      <c r="O118" s="111" t="s">
        <v>363</v>
      </c>
      <c r="P118" s="276"/>
      <c r="Q118" s="111" t="s">
        <v>363</v>
      </c>
      <c r="R118" s="111" t="s">
        <v>363</v>
      </c>
      <c r="S118" s="111" t="s">
        <v>363</v>
      </c>
      <c r="T118" s="276"/>
      <c r="U118" s="352"/>
      <c r="V118" s="1"/>
      <c r="W118" s="157"/>
      <c r="X118" s="165">
        <f t="shared" si="9"/>
        <v>0</v>
      </c>
      <c r="Y118" s="116"/>
      <c r="Z118" s="42"/>
      <c r="AA118" s="322"/>
      <c r="AB118" s="43"/>
      <c r="AC118" s="43"/>
      <c r="AD118" s="43"/>
      <c r="AE118" s="43"/>
      <c r="AF118" s="43"/>
      <c r="AG118" s="43"/>
      <c r="AH118" s="43"/>
    </row>
    <row r="119" spans="1:34" customFormat="1" ht="16" x14ac:dyDescent="0.2">
      <c r="A119" s="322"/>
      <c r="B119" s="23" t="s">
        <v>193</v>
      </c>
      <c r="C119" s="65"/>
      <c r="D119" s="276"/>
      <c r="E119" s="111" t="s">
        <v>363</v>
      </c>
      <c r="F119" s="111" t="s">
        <v>363</v>
      </c>
      <c r="G119" s="111" t="s">
        <v>363</v>
      </c>
      <c r="H119" s="276"/>
      <c r="I119" s="111" t="s">
        <v>363</v>
      </c>
      <c r="J119" s="111" t="s">
        <v>363</v>
      </c>
      <c r="K119" s="111" t="s">
        <v>363</v>
      </c>
      <c r="L119" s="276"/>
      <c r="M119" s="111" t="s">
        <v>363</v>
      </c>
      <c r="N119" s="111" t="s">
        <v>363</v>
      </c>
      <c r="O119" s="111" t="s">
        <v>363</v>
      </c>
      <c r="P119" s="276"/>
      <c r="Q119" s="111" t="s">
        <v>363</v>
      </c>
      <c r="R119" s="111" t="s">
        <v>363</v>
      </c>
      <c r="S119" s="111" t="s">
        <v>363</v>
      </c>
      <c r="T119" s="276"/>
      <c r="U119" s="352"/>
      <c r="V119" s="1"/>
      <c r="W119" s="157">
        <f>2000000/500</f>
        <v>4000</v>
      </c>
      <c r="X119" s="165">
        <f t="shared" si="9"/>
        <v>2000000</v>
      </c>
      <c r="Y119" s="116"/>
      <c r="Z119" s="42"/>
      <c r="AA119" s="322"/>
      <c r="AB119" s="43"/>
      <c r="AC119" s="43"/>
      <c r="AD119" s="43"/>
      <c r="AE119" s="43"/>
      <c r="AF119" s="43"/>
      <c r="AG119" s="43"/>
      <c r="AH119" s="43"/>
    </row>
    <row r="120" spans="1:34" customFormat="1" ht="16" x14ac:dyDescent="0.2">
      <c r="A120" s="323"/>
      <c r="B120" s="23" t="s">
        <v>136</v>
      </c>
      <c r="C120" s="65"/>
      <c r="D120" s="276"/>
      <c r="E120" s="111" t="s">
        <v>363</v>
      </c>
      <c r="F120" s="111" t="s">
        <v>363</v>
      </c>
      <c r="G120" s="111" t="s">
        <v>363</v>
      </c>
      <c r="H120" s="276"/>
      <c r="I120" s="111" t="s">
        <v>363</v>
      </c>
      <c r="J120" s="111" t="s">
        <v>363</v>
      </c>
      <c r="K120" s="111" t="s">
        <v>363</v>
      </c>
      <c r="L120" s="276"/>
      <c r="M120" s="111" t="s">
        <v>363</v>
      </c>
      <c r="N120" s="111" t="s">
        <v>363</v>
      </c>
      <c r="O120" s="111" t="s">
        <v>363</v>
      </c>
      <c r="P120" s="276"/>
      <c r="Q120" s="111" t="s">
        <v>363</v>
      </c>
      <c r="R120" s="111" t="s">
        <v>363</v>
      </c>
      <c r="S120" s="111" t="s">
        <v>363</v>
      </c>
      <c r="T120" s="276"/>
      <c r="U120" s="363"/>
      <c r="V120" s="1"/>
      <c r="W120" s="157">
        <f>6000000/500</f>
        <v>12000</v>
      </c>
      <c r="X120" s="165">
        <f t="shared" si="9"/>
        <v>6000000</v>
      </c>
      <c r="Y120" s="116"/>
      <c r="Z120" s="42"/>
      <c r="AA120" s="323"/>
      <c r="AB120" s="43"/>
      <c r="AC120" s="43"/>
      <c r="AD120" s="43"/>
      <c r="AE120" s="43"/>
      <c r="AF120" s="43"/>
      <c r="AG120" s="43"/>
      <c r="AH120" s="43"/>
    </row>
    <row r="121" spans="1:34" customFormat="1" ht="15" x14ac:dyDescent="0.2">
      <c r="A121" s="55" t="s">
        <v>137</v>
      </c>
      <c r="B121" s="56"/>
      <c r="C121" s="267"/>
      <c r="D121" s="297"/>
      <c r="E121" s="382"/>
      <c r="F121" s="382"/>
      <c r="G121" s="382"/>
      <c r="H121" s="298"/>
      <c r="I121" s="382"/>
      <c r="J121" s="382"/>
      <c r="K121" s="382"/>
      <c r="L121" s="298"/>
      <c r="M121" s="382"/>
      <c r="N121" s="382"/>
      <c r="O121" s="382"/>
      <c r="P121" s="298"/>
      <c r="Q121" s="382"/>
      <c r="R121" s="382"/>
      <c r="S121" s="382"/>
      <c r="T121" s="298"/>
      <c r="U121" s="57"/>
      <c r="V121" s="56"/>
      <c r="W121" s="86">
        <f>+W122</f>
        <v>1291192.1159999999</v>
      </c>
      <c r="X121" s="86">
        <f t="shared" ref="X121:X128" si="10">+W121*500</f>
        <v>645596058</v>
      </c>
      <c r="Y121" s="86"/>
      <c r="Z121" s="58"/>
      <c r="AA121" s="56"/>
      <c r="AB121" s="43"/>
      <c r="AC121" s="43"/>
      <c r="AD121" s="43"/>
      <c r="AE121" s="43"/>
      <c r="AF121" s="43"/>
      <c r="AG121" s="43"/>
      <c r="AH121" s="43"/>
    </row>
    <row r="122" spans="1:34" s="40" customFormat="1" ht="15" x14ac:dyDescent="0.2">
      <c r="A122" s="367" t="s">
        <v>138</v>
      </c>
      <c r="B122" s="386"/>
      <c r="C122" s="278"/>
      <c r="D122" s="251"/>
      <c r="E122" s="251"/>
      <c r="F122" s="251"/>
      <c r="G122" s="251"/>
      <c r="H122" s="251"/>
      <c r="I122" s="251"/>
      <c r="J122" s="251"/>
      <c r="K122" s="251"/>
      <c r="L122" s="251"/>
      <c r="M122" s="251"/>
      <c r="N122" s="251"/>
      <c r="O122" s="251"/>
      <c r="P122" s="251"/>
      <c r="Q122" s="251"/>
      <c r="R122" s="251"/>
      <c r="S122" s="251"/>
      <c r="T122" s="251"/>
      <c r="U122" s="59"/>
      <c r="V122" s="60"/>
      <c r="W122" s="168">
        <f>+SUM(W123:W125)</f>
        <v>1291192.1159999999</v>
      </c>
      <c r="X122" s="168">
        <f t="shared" si="10"/>
        <v>645596058</v>
      </c>
      <c r="Y122" s="87"/>
      <c r="Z122" s="61"/>
      <c r="AA122" s="60"/>
      <c r="AB122" s="39"/>
      <c r="AC122" s="39"/>
      <c r="AD122" s="39"/>
      <c r="AE122" s="39"/>
      <c r="AF122" s="39"/>
      <c r="AG122" s="39"/>
      <c r="AH122" s="39"/>
    </row>
    <row r="123" spans="1:34" s="40" customFormat="1" ht="17" x14ac:dyDescent="0.2">
      <c r="A123" s="350" t="s">
        <v>233</v>
      </c>
      <c r="B123" s="23" t="s">
        <v>178</v>
      </c>
      <c r="C123" s="268"/>
      <c r="D123" s="378"/>
      <c r="E123" s="23"/>
      <c r="F123" s="23"/>
      <c r="G123" s="23"/>
      <c r="H123" s="276"/>
      <c r="I123" s="23"/>
      <c r="J123" s="23"/>
      <c r="K123" s="23"/>
      <c r="L123" s="276"/>
      <c r="M123" s="111" t="s">
        <v>363</v>
      </c>
      <c r="N123" s="111" t="s">
        <v>363</v>
      </c>
      <c r="O123" s="111" t="s">
        <v>363</v>
      </c>
      <c r="P123" s="276"/>
      <c r="Q123" s="111" t="s">
        <v>363</v>
      </c>
      <c r="R123" s="111" t="s">
        <v>363</v>
      </c>
      <c r="S123" s="111" t="s">
        <v>363</v>
      </c>
      <c r="T123" s="276"/>
      <c r="U123" s="351" t="s">
        <v>139</v>
      </c>
      <c r="V123" s="23"/>
      <c r="W123" s="186">
        <f>673564135*80%/500</f>
        <v>1077702.6159999999</v>
      </c>
      <c r="X123" s="257">
        <f t="shared" si="10"/>
        <v>538851308</v>
      </c>
      <c r="Y123" s="116"/>
      <c r="Z123" s="41"/>
      <c r="AA123" s="350" t="s">
        <v>25</v>
      </c>
      <c r="AB123" s="39"/>
      <c r="AC123" s="39"/>
      <c r="AD123" s="39"/>
      <c r="AE123" s="39"/>
      <c r="AF123" s="39"/>
      <c r="AG123" s="39"/>
      <c r="AH123" s="39"/>
    </row>
    <row r="124" spans="1:34" s="40" customFormat="1" ht="17" x14ac:dyDescent="0.2">
      <c r="A124" s="344"/>
      <c r="B124" s="23" t="s">
        <v>158</v>
      </c>
      <c r="C124" s="269"/>
      <c r="D124" s="378"/>
      <c r="E124" s="23"/>
      <c r="F124" s="23"/>
      <c r="G124" s="23"/>
      <c r="H124" s="276"/>
      <c r="I124" s="23"/>
      <c r="J124" s="23"/>
      <c r="K124" s="23"/>
      <c r="L124" s="276"/>
      <c r="M124" s="111" t="s">
        <v>363</v>
      </c>
      <c r="N124" s="111" t="s">
        <v>363</v>
      </c>
      <c r="O124" s="111" t="s">
        <v>363</v>
      </c>
      <c r="P124" s="276"/>
      <c r="Q124" s="111" t="s">
        <v>363</v>
      </c>
      <c r="R124" s="111" t="s">
        <v>363</v>
      </c>
      <c r="S124" s="111" t="s">
        <v>363</v>
      </c>
      <c r="T124" s="276"/>
      <c r="U124" s="352"/>
      <c r="V124" s="23"/>
      <c r="W124" s="79">
        <f>+(7664750+26080000)/500</f>
        <v>67489.5</v>
      </c>
      <c r="X124" s="257">
        <f t="shared" si="10"/>
        <v>33744750</v>
      </c>
      <c r="Y124" s="116"/>
      <c r="Z124" s="41"/>
      <c r="AA124" s="344"/>
      <c r="AB124" s="39"/>
      <c r="AC124" s="39"/>
      <c r="AD124" s="39"/>
      <c r="AE124" s="39"/>
      <c r="AF124" s="39"/>
      <c r="AG124" s="39"/>
      <c r="AH124" s="39"/>
    </row>
    <row r="125" spans="1:34" s="40" customFormat="1" ht="17" x14ac:dyDescent="0.2">
      <c r="A125" s="345"/>
      <c r="B125" s="23" t="s">
        <v>179</v>
      </c>
      <c r="C125" s="266"/>
      <c r="D125" s="378"/>
      <c r="E125" s="23"/>
      <c r="F125" s="23"/>
      <c r="G125" s="23"/>
      <c r="H125" s="276"/>
      <c r="I125" s="23"/>
      <c r="J125" s="23"/>
      <c r="K125" s="23"/>
      <c r="L125" s="276"/>
      <c r="M125" s="23"/>
      <c r="N125" s="23"/>
      <c r="O125" s="23"/>
      <c r="P125" s="276"/>
      <c r="Q125" s="111" t="s">
        <v>363</v>
      </c>
      <c r="R125" s="111" t="s">
        <v>363</v>
      </c>
      <c r="S125" s="111" t="s">
        <v>363</v>
      </c>
      <c r="T125" s="276"/>
      <c r="U125" s="148" t="s">
        <v>164</v>
      </c>
      <c r="V125" s="23"/>
      <c r="W125" s="79">
        <v>146000</v>
      </c>
      <c r="X125" s="257">
        <f t="shared" si="10"/>
        <v>73000000</v>
      </c>
      <c r="Y125" s="81"/>
      <c r="Z125" s="41"/>
      <c r="AA125" s="345"/>
      <c r="AB125" s="39"/>
      <c r="AC125" s="39"/>
      <c r="AD125" s="39"/>
      <c r="AE125" s="39"/>
      <c r="AF125" s="39"/>
      <c r="AG125" s="39"/>
      <c r="AH125" s="39"/>
    </row>
    <row r="126" spans="1:34" s="39" customFormat="1" ht="45" x14ac:dyDescent="0.2">
      <c r="A126" s="384" t="s">
        <v>245</v>
      </c>
      <c r="B126" s="385"/>
      <c r="C126" s="242"/>
      <c r="D126" s="299"/>
      <c r="E126" s="387"/>
      <c r="F126" s="387"/>
      <c r="G126" s="387"/>
      <c r="H126" s="300"/>
      <c r="I126" s="387"/>
      <c r="J126" s="387"/>
      <c r="K126" s="387"/>
      <c r="L126" s="300"/>
      <c r="M126" s="387"/>
      <c r="N126" s="387"/>
      <c r="O126" s="387"/>
      <c r="P126" s="300"/>
      <c r="Q126" s="387"/>
      <c r="R126" s="387"/>
      <c r="S126" s="387"/>
      <c r="T126" s="300"/>
      <c r="U126" s="227"/>
      <c r="V126" s="226"/>
      <c r="W126" s="311">
        <f>+W127+W139</f>
        <v>700000</v>
      </c>
      <c r="X126" s="311">
        <f t="shared" si="10"/>
        <v>350000000</v>
      </c>
      <c r="Y126" s="228"/>
      <c r="Z126" s="229"/>
      <c r="AA126" s="229" t="s">
        <v>337</v>
      </c>
    </row>
    <row r="127" spans="1:34" s="191" customFormat="1" ht="28.25" customHeight="1" x14ac:dyDescent="0.2">
      <c r="A127" s="379" t="s">
        <v>278</v>
      </c>
      <c r="B127" s="379"/>
      <c r="C127" s="241"/>
      <c r="D127" s="51"/>
      <c r="E127" s="51"/>
      <c r="F127" s="51"/>
      <c r="G127" s="51"/>
      <c r="H127" s="51"/>
      <c r="I127" s="51"/>
      <c r="J127" s="51"/>
      <c r="K127" s="51"/>
      <c r="L127" s="51"/>
      <c r="M127" s="51"/>
      <c r="N127" s="51"/>
      <c r="O127" s="51"/>
      <c r="P127" s="51"/>
      <c r="Q127" s="51"/>
      <c r="R127" s="51"/>
      <c r="S127" s="51"/>
      <c r="T127" s="51"/>
      <c r="U127" s="38"/>
      <c r="V127" s="51"/>
      <c r="W127" s="308">
        <f>+W128+W135</f>
        <v>100000</v>
      </c>
      <c r="X127" s="309">
        <f t="shared" si="10"/>
        <v>50000000</v>
      </c>
      <c r="Y127" s="51"/>
      <c r="Z127" s="51"/>
      <c r="AA127" s="243" t="s">
        <v>338</v>
      </c>
      <c r="AB127" s="190"/>
      <c r="AC127" s="190"/>
      <c r="AD127" s="190"/>
      <c r="AE127" s="190"/>
      <c r="AF127" s="190"/>
      <c r="AG127" s="190"/>
      <c r="AH127" s="190"/>
    </row>
    <row r="128" spans="1:34" s="191" customFormat="1" ht="16" x14ac:dyDescent="0.2">
      <c r="A128" s="201"/>
      <c r="B128" s="202" t="s">
        <v>289</v>
      </c>
      <c r="C128" s="270"/>
      <c r="D128" s="45"/>
      <c r="E128" s="301"/>
      <c r="F128" s="301"/>
      <c r="G128" s="301"/>
      <c r="H128" s="301"/>
      <c r="I128" s="301"/>
      <c r="J128" s="301"/>
      <c r="K128" s="301"/>
      <c r="L128" s="301"/>
      <c r="M128" s="301"/>
      <c r="N128" s="301"/>
      <c r="O128" s="301"/>
      <c r="P128" s="301"/>
      <c r="Q128" s="301"/>
      <c r="R128" s="301"/>
      <c r="S128" s="301"/>
      <c r="T128" s="301"/>
      <c r="U128" s="290"/>
      <c r="V128" s="199"/>
      <c r="W128" s="310">
        <v>50000</v>
      </c>
      <c r="X128" s="310">
        <f t="shared" si="10"/>
        <v>25000000</v>
      </c>
      <c r="Y128" s="207"/>
      <c r="Z128" s="208"/>
      <c r="AA128" s="199"/>
      <c r="AB128" s="190"/>
      <c r="AC128" s="190"/>
      <c r="AD128" s="190"/>
      <c r="AE128" s="190"/>
      <c r="AF128" s="190"/>
      <c r="AG128" s="190"/>
      <c r="AH128" s="190"/>
    </row>
    <row r="129" spans="1:34" s="191" customFormat="1" ht="68" x14ac:dyDescent="0.2">
      <c r="A129" s="198"/>
      <c r="B129" s="203" t="s">
        <v>279</v>
      </c>
      <c r="C129" s="271"/>
      <c r="D129" s="276"/>
      <c r="E129" s="111" t="s">
        <v>363</v>
      </c>
      <c r="F129" s="111" t="s">
        <v>363</v>
      </c>
      <c r="G129" s="111" t="s">
        <v>363</v>
      </c>
      <c r="H129" s="276"/>
      <c r="I129" s="23"/>
      <c r="J129" s="23"/>
      <c r="K129" s="23"/>
      <c r="L129" s="276"/>
      <c r="M129" s="23"/>
      <c r="N129" s="23"/>
      <c r="O129" s="23"/>
      <c r="P129" s="276"/>
      <c r="Q129" s="23"/>
      <c r="R129" s="23"/>
      <c r="S129" s="23"/>
      <c r="T129" s="276"/>
      <c r="U129" s="291" t="s">
        <v>290</v>
      </c>
      <c r="V129" s="199"/>
      <c r="W129" s="209"/>
      <c r="X129" s="315">
        <f>+W129*500</f>
        <v>0</v>
      </c>
      <c r="Y129" s="207"/>
      <c r="Z129" s="208"/>
      <c r="AA129" s="206"/>
      <c r="AB129" s="190"/>
      <c r="AC129" s="190"/>
      <c r="AD129" s="190"/>
      <c r="AE129" s="190"/>
      <c r="AF129" s="190"/>
      <c r="AG129" s="190"/>
      <c r="AH129" s="190"/>
    </row>
    <row r="130" spans="1:34" s="191" customFormat="1" ht="102" x14ac:dyDescent="0.2">
      <c r="A130" s="198"/>
      <c r="B130" s="203" t="s">
        <v>280</v>
      </c>
      <c r="C130" s="271"/>
      <c r="D130" s="276"/>
      <c r="E130" s="23"/>
      <c r="F130" s="23"/>
      <c r="G130" s="23"/>
      <c r="H130" s="276"/>
      <c r="I130" s="111" t="s">
        <v>363</v>
      </c>
      <c r="J130" s="111" t="s">
        <v>363</v>
      </c>
      <c r="K130" s="111" t="s">
        <v>363</v>
      </c>
      <c r="L130" s="276"/>
      <c r="M130" s="23"/>
      <c r="N130" s="23"/>
      <c r="O130" s="23"/>
      <c r="P130" s="276"/>
      <c r="Q130" s="23"/>
      <c r="R130" s="23"/>
      <c r="S130" s="23"/>
      <c r="T130" s="276"/>
      <c r="U130" s="291" t="s">
        <v>291</v>
      </c>
      <c r="V130" s="199"/>
      <c r="W130" s="210"/>
      <c r="X130" s="209">
        <f t="shared" ref="X130:X138" si="11">+W130*500</f>
        <v>0</v>
      </c>
      <c r="Y130" s="207"/>
      <c r="Z130" s="208"/>
      <c r="AA130" s="199"/>
      <c r="AB130" s="190"/>
      <c r="AC130" s="190"/>
      <c r="AD130" s="190"/>
      <c r="AE130" s="190"/>
      <c r="AF130" s="190"/>
      <c r="AG130" s="190"/>
      <c r="AH130" s="190"/>
    </row>
    <row r="131" spans="1:34" s="191" customFormat="1" ht="34" x14ac:dyDescent="0.2">
      <c r="A131" s="198"/>
      <c r="B131" s="203" t="s">
        <v>281</v>
      </c>
      <c r="C131" s="271"/>
      <c r="D131" s="276"/>
      <c r="E131" s="23"/>
      <c r="F131" s="23"/>
      <c r="G131" s="23"/>
      <c r="H131" s="276"/>
      <c r="I131" s="23"/>
      <c r="J131" s="23"/>
      <c r="K131" s="23"/>
      <c r="L131" s="276"/>
      <c r="M131" s="23"/>
      <c r="N131" s="23"/>
      <c r="O131" s="23"/>
      <c r="P131" s="276"/>
      <c r="Q131" s="111" t="s">
        <v>363</v>
      </c>
      <c r="R131" s="111" t="s">
        <v>363</v>
      </c>
      <c r="S131" s="111" t="s">
        <v>363</v>
      </c>
      <c r="T131" s="276"/>
      <c r="U131" s="291" t="s">
        <v>292</v>
      </c>
      <c r="V131" s="199"/>
      <c r="W131" s="210"/>
      <c r="X131" s="209">
        <f t="shared" si="11"/>
        <v>0</v>
      </c>
      <c r="Y131" s="207"/>
      <c r="Z131" s="208"/>
      <c r="AA131" s="199"/>
      <c r="AB131" s="190"/>
      <c r="AC131" s="190"/>
      <c r="AD131" s="190"/>
      <c r="AE131" s="190"/>
      <c r="AF131" s="190"/>
      <c r="AG131" s="190"/>
      <c r="AH131" s="190"/>
    </row>
    <row r="132" spans="1:34" s="191" customFormat="1" ht="51" x14ac:dyDescent="0.2">
      <c r="A132" s="198"/>
      <c r="B132" s="203" t="s">
        <v>282</v>
      </c>
      <c r="C132" s="271"/>
      <c r="D132" s="276"/>
      <c r="E132" s="23"/>
      <c r="F132" s="23"/>
      <c r="G132" s="23"/>
      <c r="H132" s="276"/>
      <c r="I132" s="23"/>
      <c r="J132" s="23"/>
      <c r="K132" s="23"/>
      <c r="L132" s="276"/>
      <c r="M132" s="111" t="s">
        <v>363</v>
      </c>
      <c r="N132" s="111" t="s">
        <v>363</v>
      </c>
      <c r="O132" s="111" t="s">
        <v>363</v>
      </c>
      <c r="P132" s="276"/>
      <c r="Q132" s="111" t="s">
        <v>363</v>
      </c>
      <c r="R132" s="111" t="s">
        <v>363</v>
      </c>
      <c r="S132" s="111" t="s">
        <v>363</v>
      </c>
      <c r="T132" s="276"/>
      <c r="U132" s="291" t="s">
        <v>293</v>
      </c>
      <c r="V132" s="199"/>
      <c r="W132" s="210"/>
      <c r="X132" s="315">
        <f t="shared" si="11"/>
        <v>0</v>
      </c>
      <c r="Y132" s="207"/>
      <c r="Z132" s="208"/>
      <c r="AA132" s="199"/>
      <c r="AB132" s="190"/>
      <c r="AC132" s="190"/>
      <c r="AD132" s="190"/>
      <c r="AE132" s="190"/>
      <c r="AF132" s="190"/>
      <c r="AG132" s="190"/>
      <c r="AH132" s="190"/>
    </row>
    <row r="133" spans="1:34" s="191" customFormat="1" ht="68" x14ac:dyDescent="0.2">
      <c r="A133" s="198"/>
      <c r="B133" s="203" t="s">
        <v>283</v>
      </c>
      <c r="C133" s="271"/>
      <c r="D133" s="276"/>
      <c r="E133" s="23"/>
      <c r="F133" s="23"/>
      <c r="G133" s="23"/>
      <c r="H133" s="276"/>
      <c r="I133" s="23"/>
      <c r="J133" s="23"/>
      <c r="K133" s="23"/>
      <c r="L133" s="276"/>
      <c r="M133" s="23"/>
      <c r="N133" s="23"/>
      <c r="O133" s="23"/>
      <c r="P133" s="276"/>
      <c r="Q133" s="111" t="s">
        <v>363</v>
      </c>
      <c r="R133" s="111" t="s">
        <v>363</v>
      </c>
      <c r="S133" s="111" t="s">
        <v>363</v>
      </c>
      <c r="T133" s="276"/>
      <c r="U133" s="291" t="s">
        <v>332</v>
      </c>
      <c r="V133" s="199"/>
      <c r="W133" s="210"/>
      <c r="X133" s="315">
        <f t="shared" si="11"/>
        <v>0</v>
      </c>
      <c r="Y133" s="207"/>
      <c r="Z133" s="208"/>
      <c r="AA133" s="199"/>
      <c r="AB133" s="190"/>
      <c r="AC133" s="190"/>
      <c r="AD133" s="190"/>
      <c r="AE133" s="190"/>
      <c r="AF133" s="190"/>
      <c r="AG133" s="190"/>
      <c r="AH133" s="190"/>
    </row>
    <row r="134" spans="1:34" s="191" customFormat="1" ht="51" x14ac:dyDescent="0.2">
      <c r="A134" s="198"/>
      <c r="B134" s="203" t="s">
        <v>284</v>
      </c>
      <c r="C134" s="271"/>
      <c r="D134" s="276"/>
      <c r="E134" s="23"/>
      <c r="F134" s="23"/>
      <c r="G134" s="23"/>
      <c r="H134" s="276"/>
      <c r="I134" s="23"/>
      <c r="J134" s="23"/>
      <c r="K134" s="23"/>
      <c r="L134" s="276"/>
      <c r="M134" s="111" t="s">
        <v>363</v>
      </c>
      <c r="N134" s="111" t="s">
        <v>363</v>
      </c>
      <c r="O134" s="111" t="s">
        <v>363</v>
      </c>
      <c r="P134" s="276"/>
      <c r="Q134" s="111" t="s">
        <v>363</v>
      </c>
      <c r="R134" s="111" t="s">
        <v>363</v>
      </c>
      <c r="S134" s="111" t="s">
        <v>363</v>
      </c>
      <c r="T134" s="276"/>
      <c r="U134" s="291" t="s">
        <v>294</v>
      </c>
      <c r="V134" s="199"/>
      <c r="W134" s="210"/>
      <c r="X134" s="315">
        <f t="shared" si="11"/>
        <v>0</v>
      </c>
      <c r="Y134" s="207"/>
      <c r="Z134" s="208"/>
      <c r="AA134" s="199"/>
      <c r="AB134" s="190"/>
      <c r="AC134" s="190"/>
      <c r="AD134" s="190"/>
      <c r="AE134" s="190"/>
      <c r="AF134" s="190"/>
      <c r="AG134" s="190"/>
      <c r="AH134" s="190"/>
    </row>
    <row r="135" spans="1:34" s="191" customFormat="1" ht="16" x14ac:dyDescent="0.2">
      <c r="A135" s="198"/>
      <c r="B135" s="202" t="s">
        <v>288</v>
      </c>
      <c r="C135" s="270"/>
      <c r="D135" s="45"/>
      <c r="E135" s="301"/>
      <c r="F135" s="301"/>
      <c r="G135" s="301"/>
      <c r="H135" s="301"/>
      <c r="I135" s="301"/>
      <c r="J135" s="301"/>
      <c r="K135" s="301"/>
      <c r="L135" s="301"/>
      <c r="M135" s="301"/>
      <c r="N135" s="301"/>
      <c r="O135" s="301"/>
      <c r="P135" s="301"/>
      <c r="Q135" s="301"/>
      <c r="R135" s="301"/>
      <c r="S135" s="301"/>
      <c r="T135" s="301"/>
      <c r="U135" s="290"/>
      <c r="V135" s="199"/>
      <c r="W135" s="310">
        <v>50000</v>
      </c>
      <c r="X135" s="312">
        <f t="shared" si="11"/>
        <v>25000000</v>
      </c>
      <c r="Y135" s="207"/>
      <c r="Z135" s="208"/>
      <c r="AA135" s="199"/>
      <c r="AB135" s="190"/>
      <c r="AC135" s="190"/>
      <c r="AD135" s="190"/>
      <c r="AE135" s="190"/>
      <c r="AF135" s="190"/>
      <c r="AG135" s="190"/>
      <c r="AH135" s="190"/>
    </row>
    <row r="136" spans="1:34" s="191" customFormat="1" ht="34" x14ac:dyDescent="0.2">
      <c r="A136" s="198"/>
      <c r="B136" s="203" t="s">
        <v>285</v>
      </c>
      <c r="C136" s="271"/>
      <c r="D136" s="276"/>
      <c r="E136" s="111" t="s">
        <v>363</v>
      </c>
      <c r="F136" s="111" t="s">
        <v>363</v>
      </c>
      <c r="G136" s="111" t="s">
        <v>363</v>
      </c>
      <c r="H136" s="276"/>
      <c r="I136" s="111" t="s">
        <v>363</v>
      </c>
      <c r="J136" s="111" t="s">
        <v>363</v>
      </c>
      <c r="K136" s="111" t="s">
        <v>363</v>
      </c>
      <c r="L136" s="276"/>
      <c r="M136" s="111" t="s">
        <v>363</v>
      </c>
      <c r="N136" s="111" t="s">
        <v>363</v>
      </c>
      <c r="O136" s="111" t="s">
        <v>363</v>
      </c>
      <c r="P136" s="276"/>
      <c r="Q136" s="111" t="s">
        <v>363</v>
      </c>
      <c r="R136" s="111" t="s">
        <v>363</v>
      </c>
      <c r="S136" s="111" t="s">
        <v>363</v>
      </c>
      <c r="T136" s="276"/>
      <c r="U136" s="291" t="s">
        <v>295</v>
      </c>
      <c r="V136" s="199"/>
      <c r="W136" s="210"/>
      <c r="X136" s="315">
        <f t="shared" si="11"/>
        <v>0</v>
      </c>
      <c r="Y136" s="207"/>
      <c r="Z136" s="208"/>
      <c r="AA136" s="199"/>
      <c r="AB136" s="190"/>
      <c r="AC136" s="190"/>
      <c r="AD136" s="190"/>
      <c r="AE136" s="190"/>
      <c r="AF136" s="190"/>
      <c r="AG136" s="190"/>
      <c r="AH136" s="190"/>
    </row>
    <row r="137" spans="1:34" s="191" customFormat="1" ht="34" x14ac:dyDescent="0.2">
      <c r="A137" s="198"/>
      <c r="B137" s="203" t="s">
        <v>287</v>
      </c>
      <c r="C137" s="271"/>
      <c r="D137" s="276"/>
      <c r="E137" s="23"/>
      <c r="F137" s="23"/>
      <c r="G137" s="23"/>
      <c r="H137" s="276"/>
      <c r="I137" s="111" t="s">
        <v>363</v>
      </c>
      <c r="J137" s="111" t="s">
        <v>363</v>
      </c>
      <c r="K137" s="111" t="s">
        <v>363</v>
      </c>
      <c r="L137" s="276"/>
      <c r="M137" s="111" t="s">
        <v>363</v>
      </c>
      <c r="N137" s="111" t="s">
        <v>363</v>
      </c>
      <c r="O137" s="111" t="s">
        <v>363</v>
      </c>
      <c r="P137" s="276"/>
      <c r="Q137" s="111" t="s">
        <v>363</v>
      </c>
      <c r="R137" s="111" t="s">
        <v>363</v>
      </c>
      <c r="S137" s="111" t="s">
        <v>363</v>
      </c>
      <c r="T137" s="276"/>
      <c r="U137" s="291" t="s">
        <v>296</v>
      </c>
      <c r="V137" s="199"/>
      <c r="W137" s="210"/>
      <c r="X137" s="315">
        <f t="shared" si="11"/>
        <v>0</v>
      </c>
      <c r="Y137" s="207"/>
      <c r="Z137" s="208"/>
      <c r="AA137" s="199"/>
      <c r="AB137" s="190"/>
      <c r="AC137" s="190"/>
      <c r="AD137" s="190"/>
      <c r="AE137" s="190"/>
      <c r="AF137" s="190"/>
      <c r="AG137" s="190"/>
      <c r="AH137" s="190"/>
    </row>
    <row r="138" spans="1:34" s="191" customFormat="1" ht="51" x14ac:dyDescent="0.2">
      <c r="A138" s="198"/>
      <c r="B138" s="203" t="s">
        <v>286</v>
      </c>
      <c r="C138" s="271"/>
      <c r="D138" s="276"/>
      <c r="E138" s="23"/>
      <c r="F138" s="23"/>
      <c r="G138" s="23"/>
      <c r="H138" s="276"/>
      <c r="I138" s="111" t="s">
        <v>363</v>
      </c>
      <c r="J138" s="111" t="s">
        <v>363</v>
      </c>
      <c r="K138" s="111" t="s">
        <v>363</v>
      </c>
      <c r="L138" s="276"/>
      <c r="M138" s="111" t="s">
        <v>363</v>
      </c>
      <c r="N138" s="111" t="s">
        <v>363</v>
      </c>
      <c r="O138" s="111" t="s">
        <v>363</v>
      </c>
      <c r="P138" s="276"/>
      <c r="Q138" s="111" t="s">
        <v>363</v>
      </c>
      <c r="R138" s="111" t="s">
        <v>363</v>
      </c>
      <c r="S138" s="111" t="s">
        <v>363</v>
      </c>
      <c r="T138" s="276"/>
      <c r="U138" s="291" t="s">
        <v>297</v>
      </c>
      <c r="V138" s="199"/>
      <c r="W138" s="210"/>
      <c r="X138" s="315">
        <f t="shared" si="11"/>
        <v>0</v>
      </c>
      <c r="Y138" s="207"/>
      <c r="Z138" s="208"/>
      <c r="AA138" s="199"/>
      <c r="AB138" s="190"/>
      <c r="AC138" s="190"/>
      <c r="AD138" s="190"/>
      <c r="AE138" s="190"/>
      <c r="AF138" s="190"/>
      <c r="AG138" s="190"/>
      <c r="AH138" s="190"/>
    </row>
    <row r="139" spans="1:34" s="191" customFormat="1" ht="30" x14ac:dyDescent="0.2">
      <c r="A139" s="51" t="s">
        <v>366</v>
      </c>
      <c r="B139" s="51"/>
      <c r="C139" s="51"/>
      <c r="D139" s="51"/>
      <c r="E139" s="51"/>
      <c r="F139" s="51"/>
      <c r="G139" s="51"/>
      <c r="H139" s="51"/>
      <c r="I139" s="51"/>
      <c r="J139" s="51"/>
      <c r="K139" s="51"/>
      <c r="L139" s="51"/>
      <c r="M139" s="51"/>
      <c r="N139" s="51"/>
      <c r="O139" s="51"/>
      <c r="P139" s="51"/>
      <c r="Q139" s="51"/>
      <c r="R139" s="51"/>
      <c r="S139" s="51"/>
      <c r="T139" s="51"/>
      <c r="U139" s="51"/>
      <c r="V139" s="51"/>
      <c r="W139" s="309">
        <f>+W140+W162</f>
        <v>600000</v>
      </c>
      <c r="X139" s="309">
        <f>+W139*500</f>
        <v>300000000</v>
      </c>
      <c r="Y139" s="51"/>
      <c r="Z139" s="51"/>
      <c r="AA139" s="51"/>
      <c r="AB139" s="190"/>
      <c r="AC139" s="190"/>
      <c r="AD139" s="190"/>
      <c r="AE139" s="190"/>
      <c r="AF139" s="190"/>
      <c r="AG139" s="190"/>
      <c r="AH139" s="190"/>
    </row>
    <row r="140" spans="1:34" s="182" customFormat="1" x14ac:dyDescent="0.15">
      <c r="A140" s="380" t="s">
        <v>246</v>
      </c>
      <c r="B140" s="380"/>
      <c r="C140" s="303"/>
      <c r="D140" s="304"/>
      <c r="E140" s="304"/>
      <c r="F140" s="304"/>
      <c r="G140" s="305"/>
      <c r="H140" s="305"/>
      <c r="I140" s="305"/>
      <c r="J140" s="305"/>
      <c r="K140" s="305"/>
      <c r="L140" s="305"/>
      <c r="M140" s="305"/>
      <c r="N140" s="305"/>
      <c r="O140" s="305"/>
      <c r="P140" s="305"/>
      <c r="Q140" s="305"/>
      <c r="R140" s="305"/>
      <c r="S140" s="305"/>
      <c r="T140" s="305"/>
      <c r="U140" s="306"/>
      <c r="V140" s="304"/>
      <c r="W140" s="313">
        <f>+W141+W148+W156</f>
        <v>300000</v>
      </c>
      <c r="X140" s="313">
        <f>+W140*500</f>
        <v>150000000</v>
      </c>
      <c r="Y140" s="305"/>
      <c r="Z140" s="305"/>
      <c r="AA140" s="305"/>
      <c r="AB140" s="181"/>
      <c r="AC140" s="181"/>
      <c r="AD140" s="181"/>
      <c r="AE140" s="181"/>
      <c r="AF140" s="181"/>
      <c r="AG140" s="181"/>
      <c r="AH140" s="181"/>
    </row>
    <row r="141" spans="1:34" s="182" customFormat="1" ht="16.25" customHeight="1" x14ac:dyDescent="0.15">
      <c r="A141" s="381" t="s">
        <v>247</v>
      </c>
      <c r="B141" s="204"/>
      <c r="C141" s="272"/>
      <c r="D141" s="204"/>
      <c r="E141" s="204"/>
      <c r="F141" s="204"/>
      <c r="G141" s="204"/>
      <c r="H141" s="204"/>
      <c r="I141" s="204"/>
      <c r="J141" s="204"/>
      <c r="K141" s="204"/>
      <c r="L141" s="204"/>
      <c r="M141" s="204"/>
      <c r="N141" s="204"/>
      <c r="O141" s="204"/>
      <c r="P141" s="204"/>
      <c r="Q141" s="204"/>
      <c r="R141" s="204"/>
      <c r="S141" s="204"/>
      <c r="T141" s="204"/>
      <c r="U141" s="231"/>
      <c r="V141" s="204"/>
      <c r="W141" s="211">
        <v>100000</v>
      </c>
      <c r="X141" s="211">
        <f>+W141*500</f>
        <v>50000000</v>
      </c>
      <c r="Y141" s="212"/>
      <c r="Z141" s="213"/>
      <c r="AA141" s="214"/>
      <c r="AB141" s="181"/>
      <c r="AC141" s="181"/>
      <c r="AD141" s="181"/>
      <c r="AE141" s="181"/>
      <c r="AF141" s="181"/>
      <c r="AG141" s="181"/>
      <c r="AH141" s="181"/>
    </row>
    <row r="142" spans="1:34" ht="51" x14ac:dyDescent="0.2">
      <c r="A142" s="381"/>
      <c r="B142" s="203" t="s">
        <v>234</v>
      </c>
      <c r="C142" s="271"/>
      <c r="D142" s="276"/>
      <c r="E142" s="23"/>
      <c r="F142" s="23"/>
      <c r="G142" s="23"/>
      <c r="H142" s="276"/>
      <c r="I142" s="111" t="s">
        <v>363</v>
      </c>
      <c r="J142" s="111" t="s">
        <v>363</v>
      </c>
      <c r="K142" s="111" t="s">
        <v>363</v>
      </c>
      <c r="L142" s="276"/>
      <c r="M142" s="111" t="s">
        <v>363</v>
      </c>
      <c r="N142" s="111" t="s">
        <v>363</v>
      </c>
      <c r="O142" s="111" t="s">
        <v>363</v>
      </c>
      <c r="P142" s="276"/>
      <c r="Q142" s="23"/>
      <c r="R142" s="23"/>
      <c r="S142" s="23"/>
      <c r="T142" s="276"/>
      <c r="U142" s="291" t="s">
        <v>301</v>
      </c>
      <c r="V142" s="1"/>
      <c r="W142" s="215"/>
      <c r="X142" s="211">
        <f t="shared" ref="X142:X179" si="12">+W142*500</f>
        <v>0</v>
      </c>
      <c r="Y142" s="216"/>
      <c r="Z142" s="217"/>
      <c r="AA142" s="77"/>
    </row>
    <row r="143" spans="1:34" ht="17" x14ac:dyDescent="0.2">
      <c r="A143" s="381"/>
      <c r="B143" s="203" t="s">
        <v>235</v>
      </c>
      <c r="C143" s="271"/>
      <c r="D143" s="276"/>
      <c r="E143" s="111" t="s">
        <v>363</v>
      </c>
      <c r="F143" s="111" t="s">
        <v>363</v>
      </c>
      <c r="G143" s="111" t="s">
        <v>363</v>
      </c>
      <c r="H143" s="276"/>
      <c r="I143" s="111" t="s">
        <v>363</v>
      </c>
      <c r="J143" s="111" t="s">
        <v>363</v>
      </c>
      <c r="K143" s="111" t="s">
        <v>363</v>
      </c>
      <c r="L143" s="276"/>
      <c r="M143" s="111" t="s">
        <v>363</v>
      </c>
      <c r="N143" s="111" t="s">
        <v>363</v>
      </c>
      <c r="O143" s="111" t="s">
        <v>363</v>
      </c>
      <c r="P143" s="276"/>
      <c r="Q143" s="111" t="s">
        <v>363</v>
      </c>
      <c r="R143" s="111" t="s">
        <v>363</v>
      </c>
      <c r="S143" s="111" t="s">
        <v>363</v>
      </c>
      <c r="T143" s="276"/>
      <c r="U143" s="291" t="s">
        <v>300</v>
      </c>
      <c r="V143" s="1"/>
      <c r="W143" s="215"/>
      <c r="X143" s="211">
        <f t="shared" si="12"/>
        <v>0</v>
      </c>
      <c r="Y143" s="216"/>
      <c r="Z143" s="4"/>
      <c r="AA143" s="77"/>
    </row>
    <row r="144" spans="1:34" ht="34" x14ac:dyDescent="0.2">
      <c r="A144" s="381"/>
      <c r="B144" s="203" t="s">
        <v>236</v>
      </c>
      <c r="C144" s="271"/>
      <c r="D144" s="276"/>
      <c r="E144" s="23"/>
      <c r="F144" s="23"/>
      <c r="G144" s="23"/>
      <c r="H144" s="276"/>
      <c r="I144" s="111" t="s">
        <v>363</v>
      </c>
      <c r="J144" s="111" t="s">
        <v>363</v>
      </c>
      <c r="K144" s="111" t="s">
        <v>363</v>
      </c>
      <c r="L144" s="276"/>
      <c r="M144" s="111" t="s">
        <v>363</v>
      </c>
      <c r="N144" s="111" t="s">
        <v>363</v>
      </c>
      <c r="O144" s="111" t="s">
        <v>363</v>
      </c>
      <c r="P144" s="276"/>
      <c r="Q144" s="111" t="s">
        <v>363</v>
      </c>
      <c r="R144" s="111" t="s">
        <v>363</v>
      </c>
      <c r="S144" s="111" t="s">
        <v>363</v>
      </c>
      <c r="T144" s="276"/>
      <c r="U144" s="291" t="s">
        <v>302</v>
      </c>
      <c r="V144" s="1"/>
      <c r="W144" s="218"/>
      <c r="X144" s="211">
        <f t="shared" si="12"/>
        <v>0</v>
      </c>
      <c r="Y144" s="216"/>
      <c r="Z144" s="219"/>
      <c r="AA144" s="77"/>
    </row>
    <row r="145" spans="1:34" ht="34" x14ac:dyDescent="0.2">
      <c r="A145" s="381"/>
      <c r="B145" s="203" t="s">
        <v>237</v>
      </c>
      <c r="C145" s="271"/>
      <c r="D145" s="276"/>
      <c r="E145" s="111" t="s">
        <v>363</v>
      </c>
      <c r="F145" s="111" t="s">
        <v>363</v>
      </c>
      <c r="G145" s="111" t="s">
        <v>363</v>
      </c>
      <c r="H145" s="276"/>
      <c r="I145" s="111" t="s">
        <v>363</v>
      </c>
      <c r="J145" s="111" t="s">
        <v>363</v>
      </c>
      <c r="K145" s="111" t="s">
        <v>363</v>
      </c>
      <c r="L145" s="276"/>
      <c r="M145" s="111" t="s">
        <v>363</v>
      </c>
      <c r="N145" s="111" t="s">
        <v>363</v>
      </c>
      <c r="O145" s="111" t="s">
        <v>363</v>
      </c>
      <c r="P145" s="276"/>
      <c r="Q145" s="111" t="s">
        <v>363</v>
      </c>
      <c r="R145" s="111" t="s">
        <v>363</v>
      </c>
      <c r="S145" s="111" t="s">
        <v>363</v>
      </c>
      <c r="T145" s="276"/>
      <c r="U145" s="291" t="s">
        <v>303</v>
      </c>
      <c r="V145" s="1"/>
      <c r="W145" s="218"/>
      <c r="X145" s="211">
        <f t="shared" si="12"/>
        <v>0</v>
      </c>
      <c r="Y145" s="216"/>
      <c r="Z145" s="4"/>
      <c r="AA145" s="77"/>
    </row>
    <row r="146" spans="1:34" ht="34" x14ac:dyDescent="0.2">
      <c r="A146" s="381"/>
      <c r="B146" s="203" t="s">
        <v>238</v>
      </c>
      <c r="C146" s="271"/>
      <c r="D146" s="276"/>
      <c r="E146" s="23"/>
      <c r="F146" s="23"/>
      <c r="G146" s="23"/>
      <c r="H146" s="276"/>
      <c r="I146" s="23"/>
      <c r="J146" s="23"/>
      <c r="K146" s="23"/>
      <c r="L146" s="276"/>
      <c r="M146" s="111" t="s">
        <v>363</v>
      </c>
      <c r="N146" s="111" t="s">
        <v>363</v>
      </c>
      <c r="O146" s="111" t="s">
        <v>363</v>
      </c>
      <c r="P146" s="276"/>
      <c r="Q146" s="111" t="s">
        <v>363</v>
      </c>
      <c r="R146" s="111" t="s">
        <v>363</v>
      </c>
      <c r="S146" s="111" t="s">
        <v>363</v>
      </c>
      <c r="T146" s="276"/>
      <c r="U146" s="252" t="s">
        <v>304</v>
      </c>
      <c r="V146" s="1"/>
      <c r="W146" s="218"/>
      <c r="X146" s="211">
        <f t="shared" si="12"/>
        <v>0</v>
      </c>
      <c r="Y146" s="216"/>
      <c r="Z146" s="4"/>
      <c r="AA146" s="77"/>
    </row>
    <row r="147" spans="1:34" ht="17" x14ac:dyDescent="0.2">
      <c r="A147" s="381"/>
      <c r="B147" s="203" t="s">
        <v>239</v>
      </c>
      <c r="C147" s="271"/>
      <c r="D147" s="276"/>
      <c r="E147" s="23"/>
      <c r="F147" s="23"/>
      <c r="G147" s="23"/>
      <c r="H147" s="276"/>
      <c r="I147" s="23"/>
      <c r="J147" s="23"/>
      <c r="K147" s="23"/>
      <c r="L147" s="276"/>
      <c r="M147" s="23"/>
      <c r="N147" s="23"/>
      <c r="O147" s="23"/>
      <c r="P147" s="276"/>
      <c r="Q147" s="111" t="s">
        <v>363</v>
      </c>
      <c r="R147" s="111" t="s">
        <v>363</v>
      </c>
      <c r="S147" s="111" t="s">
        <v>363</v>
      </c>
      <c r="T147" s="276"/>
      <c r="U147" s="252"/>
      <c r="V147" s="1"/>
      <c r="W147" s="218"/>
      <c r="X147" s="211">
        <f t="shared" si="12"/>
        <v>0</v>
      </c>
      <c r="Y147" s="216"/>
      <c r="Z147" s="4"/>
      <c r="AA147" s="77"/>
    </row>
    <row r="148" spans="1:34" s="182" customFormat="1" ht="16" x14ac:dyDescent="0.15">
      <c r="A148" s="369" t="s">
        <v>248</v>
      </c>
      <c r="B148" s="205"/>
      <c r="C148" s="273"/>
      <c r="D148" s="204"/>
      <c r="E148" s="204"/>
      <c r="F148" s="204"/>
      <c r="G148" s="204"/>
      <c r="H148" s="204"/>
      <c r="I148" s="204"/>
      <c r="J148" s="204"/>
      <c r="K148" s="204"/>
      <c r="L148" s="204"/>
      <c r="M148" s="204"/>
      <c r="N148" s="204"/>
      <c r="O148" s="204"/>
      <c r="P148" s="204"/>
      <c r="Q148" s="204"/>
      <c r="R148" s="204"/>
      <c r="S148" s="204"/>
      <c r="T148" s="204"/>
      <c r="U148" s="231"/>
      <c r="V148" s="204"/>
      <c r="W148" s="211">
        <v>100000</v>
      </c>
      <c r="X148" s="211">
        <f t="shared" si="12"/>
        <v>50000000</v>
      </c>
      <c r="Y148" s="212"/>
      <c r="Z148" s="213"/>
      <c r="AA148" s="214"/>
      <c r="AB148" s="181"/>
      <c r="AC148" s="181"/>
      <c r="AD148" s="181"/>
      <c r="AE148" s="181"/>
      <c r="AF148" s="181"/>
      <c r="AG148" s="181"/>
      <c r="AH148" s="181"/>
    </row>
    <row r="149" spans="1:34" ht="51" x14ac:dyDescent="0.2">
      <c r="A149" s="369"/>
      <c r="B149" s="203" t="s">
        <v>251</v>
      </c>
      <c r="C149" s="271"/>
      <c r="D149" s="276"/>
      <c r="E149" s="111" t="s">
        <v>363</v>
      </c>
      <c r="F149" s="111" t="s">
        <v>363</v>
      </c>
      <c r="G149" s="111" t="s">
        <v>363</v>
      </c>
      <c r="H149" s="276"/>
      <c r="I149" s="111" t="s">
        <v>363</v>
      </c>
      <c r="J149" s="111" t="s">
        <v>363</v>
      </c>
      <c r="K149" s="111" t="s">
        <v>363</v>
      </c>
      <c r="L149" s="276"/>
      <c r="M149" s="111" t="s">
        <v>363</v>
      </c>
      <c r="N149" s="111" t="s">
        <v>363</v>
      </c>
      <c r="O149" s="111" t="s">
        <v>363</v>
      </c>
      <c r="P149" s="276"/>
      <c r="Q149" s="111" t="s">
        <v>363</v>
      </c>
      <c r="R149" s="111" t="s">
        <v>363</v>
      </c>
      <c r="S149" s="111" t="s">
        <v>363</v>
      </c>
      <c r="T149" s="276"/>
      <c r="U149" s="291" t="s">
        <v>305</v>
      </c>
      <c r="V149" s="1"/>
      <c r="W149" s="218"/>
      <c r="X149" s="211">
        <f t="shared" si="12"/>
        <v>0</v>
      </c>
      <c r="Y149" s="216"/>
      <c r="Z149" s="4"/>
      <c r="AA149" s="77"/>
    </row>
    <row r="150" spans="1:34" ht="34" x14ac:dyDescent="0.2">
      <c r="A150" s="369"/>
      <c r="B150" s="203" t="s">
        <v>250</v>
      </c>
      <c r="C150" s="271"/>
      <c r="D150" s="276"/>
      <c r="E150" s="23"/>
      <c r="F150" s="23"/>
      <c r="G150" s="23"/>
      <c r="H150" s="276"/>
      <c r="I150" s="23"/>
      <c r="J150" s="23"/>
      <c r="K150" s="23"/>
      <c r="L150" s="276"/>
      <c r="M150" s="111" t="s">
        <v>363</v>
      </c>
      <c r="N150" s="111" t="s">
        <v>363</v>
      </c>
      <c r="O150" s="111" t="s">
        <v>363</v>
      </c>
      <c r="P150" s="276"/>
      <c r="Q150" s="23"/>
      <c r="R150" s="23"/>
      <c r="S150" s="23"/>
      <c r="T150" s="276"/>
      <c r="U150" s="291" t="s">
        <v>306</v>
      </c>
      <c r="V150" s="1"/>
      <c r="W150" s="218"/>
      <c r="X150" s="211">
        <f t="shared" si="12"/>
        <v>0</v>
      </c>
      <c r="Y150" s="216"/>
      <c r="Z150" s="4"/>
      <c r="AA150" s="77"/>
    </row>
    <row r="151" spans="1:34" ht="34" x14ac:dyDescent="0.2">
      <c r="A151" s="369"/>
      <c r="B151" s="203" t="s">
        <v>249</v>
      </c>
      <c r="C151" s="271"/>
      <c r="D151" s="276"/>
      <c r="E151" s="23"/>
      <c r="F151" s="23"/>
      <c r="G151" s="23"/>
      <c r="H151" s="276"/>
      <c r="I151" s="111" t="s">
        <v>363</v>
      </c>
      <c r="J151" s="111" t="s">
        <v>363</v>
      </c>
      <c r="K151" s="111" t="s">
        <v>363</v>
      </c>
      <c r="L151" s="276"/>
      <c r="M151" s="23"/>
      <c r="N151" s="23"/>
      <c r="O151" s="23"/>
      <c r="P151" s="276"/>
      <c r="Q151" s="23"/>
      <c r="R151" s="23"/>
      <c r="S151" s="23"/>
      <c r="T151" s="276"/>
      <c r="U151" s="291" t="s">
        <v>307</v>
      </c>
      <c r="V151" s="1"/>
      <c r="W151" s="218"/>
      <c r="X151" s="211">
        <f t="shared" si="12"/>
        <v>0</v>
      </c>
      <c r="Y151" s="216"/>
      <c r="Z151" s="4"/>
      <c r="AA151" s="77"/>
    </row>
    <row r="152" spans="1:34" ht="34" x14ac:dyDescent="0.2">
      <c r="A152" s="369"/>
      <c r="B152" s="203" t="s">
        <v>252</v>
      </c>
      <c r="C152" s="271"/>
      <c r="D152" s="276"/>
      <c r="E152" s="23"/>
      <c r="F152" s="23"/>
      <c r="G152" s="23"/>
      <c r="H152" s="276"/>
      <c r="I152" s="23"/>
      <c r="J152" s="23"/>
      <c r="K152" s="23"/>
      <c r="L152" s="276"/>
      <c r="M152" s="111" t="s">
        <v>363</v>
      </c>
      <c r="N152" s="111" t="s">
        <v>363</v>
      </c>
      <c r="O152" s="111" t="s">
        <v>363</v>
      </c>
      <c r="P152" s="276"/>
      <c r="Q152" s="111" t="s">
        <v>363</v>
      </c>
      <c r="R152" s="111" t="s">
        <v>363</v>
      </c>
      <c r="S152" s="111" t="s">
        <v>363</v>
      </c>
      <c r="T152" s="276"/>
      <c r="U152" s="291" t="s">
        <v>308</v>
      </c>
      <c r="V152" s="1"/>
      <c r="W152" s="218"/>
      <c r="X152" s="211">
        <f t="shared" si="12"/>
        <v>0</v>
      </c>
      <c r="Y152" s="216"/>
      <c r="Z152" s="4"/>
      <c r="AA152" s="77"/>
    </row>
    <row r="153" spans="1:34" ht="34" x14ac:dyDescent="0.2">
      <c r="A153" s="369"/>
      <c r="B153" s="203" t="s">
        <v>253</v>
      </c>
      <c r="C153" s="271"/>
      <c r="D153" s="276"/>
      <c r="E153" s="23"/>
      <c r="F153" s="23"/>
      <c r="G153" s="23"/>
      <c r="H153" s="276"/>
      <c r="I153" s="23"/>
      <c r="J153" s="23"/>
      <c r="K153" s="23"/>
      <c r="L153" s="276"/>
      <c r="M153" s="111" t="s">
        <v>363</v>
      </c>
      <c r="N153" s="111" t="s">
        <v>363</v>
      </c>
      <c r="O153" s="111" t="s">
        <v>363</v>
      </c>
      <c r="P153" s="276"/>
      <c r="Q153" s="111" t="s">
        <v>363</v>
      </c>
      <c r="R153" s="111" t="s">
        <v>363</v>
      </c>
      <c r="S153" s="111" t="s">
        <v>363</v>
      </c>
      <c r="T153" s="276"/>
      <c r="U153" s="291" t="s">
        <v>309</v>
      </c>
      <c r="V153" s="1"/>
      <c r="W153" s="218"/>
      <c r="X153" s="211">
        <f t="shared" si="12"/>
        <v>0</v>
      </c>
      <c r="Y153" s="216"/>
      <c r="Z153" s="4"/>
      <c r="AA153" s="77"/>
    </row>
    <row r="154" spans="1:34" ht="34" x14ac:dyDescent="0.2">
      <c r="A154" s="369"/>
      <c r="B154" s="203" t="s">
        <v>240</v>
      </c>
      <c r="C154" s="271"/>
      <c r="D154" s="276"/>
      <c r="E154" s="23"/>
      <c r="F154" s="23"/>
      <c r="G154" s="23"/>
      <c r="H154" s="276"/>
      <c r="I154" s="23"/>
      <c r="J154" s="23"/>
      <c r="K154" s="23"/>
      <c r="L154" s="276"/>
      <c r="M154" s="23"/>
      <c r="N154" s="23"/>
      <c r="O154" s="23"/>
      <c r="P154" s="276"/>
      <c r="Q154" s="111" t="s">
        <v>363</v>
      </c>
      <c r="R154" s="111" t="s">
        <v>363</v>
      </c>
      <c r="S154" s="111" t="s">
        <v>363</v>
      </c>
      <c r="T154" s="276"/>
      <c r="U154" s="252" t="s">
        <v>310</v>
      </c>
      <c r="V154" s="1"/>
      <c r="W154" s="218"/>
      <c r="X154" s="211">
        <f t="shared" si="12"/>
        <v>0</v>
      </c>
      <c r="Y154" s="216"/>
      <c r="Z154" s="4"/>
      <c r="AA154" s="77"/>
    </row>
    <row r="155" spans="1:34" ht="51" x14ac:dyDescent="0.2">
      <c r="A155" s="369"/>
      <c r="B155" s="203" t="s">
        <v>254</v>
      </c>
      <c r="C155" s="271"/>
      <c r="D155" s="276"/>
      <c r="E155" s="23"/>
      <c r="F155" s="23"/>
      <c r="G155" s="23"/>
      <c r="H155" s="276"/>
      <c r="I155" s="23"/>
      <c r="J155" s="23"/>
      <c r="K155" s="23"/>
      <c r="L155" s="276"/>
      <c r="M155" s="23"/>
      <c r="N155" s="23"/>
      <c r="O155" s="23"/>
      <c r="P155" s="276"/>
      <c r="Q155" s="111" t="s">
        <v>363</v>
      </c>
      <c r="R155" s="111" t="s">
        <v>363</v>
      </c>
      <c r="S155" s="111" t="s">
        <v>363</v>
      </c>
      <c r="T155" s="276"/>
      <c r="U155" s="291" t="s">
        <v>311</v>
      </c>
      <c r="V155" s="1"/>
      <c r="W155" s="218"/>
      <c r="X155" s="211">
        <f t="shared" si="12"/>
        <v>0</v>
      </c>
      <c r="Y155" s="216"/>
      <c r="Z155" s="4"/>
      <c r="AA155" s="77"/>
    </row>
    <row r="156" spans="1:34" s="182" customFormat="1" ht="15.5" customHeight="1" x14ac:dyDescent="0.2">
      <c r="A156" s="369" t="s">
        <v>255</v>
      </c>
      <c r="B156" s="204"/>
      <c r="C156" s="272"/>
      <c r="D156" s="276"/>
      <c r="E156" s="204"/>
      <c r="F156" s="204"/>
      <c r="G156" s="204"/>
      <c r="H156" s="276"/>
      <c r="I156" s="204"/>
      <c r="J156" s="204"/>
      <c r="K156" s="204"/>
      <c r="L156" s="276"/>
      <c r="M156" s="204"/>
      <c r="N156" s="204"/>
      <c r="O156" s="204"/>
      <c r="P156" s="276"/>
      <c r="Q156" s="204"/>
      <c r="R156" s="204"/>
      <c r="S156" s="204"/>
      <c r="T156" s="276"/>
      <c r="U156" s="231"/>
      <c r="V156" s="204"/>
      <c r="W156" s="211">
        <v>100000</v>
      </c>
      <c r="X156" s="211">
        <f t="shared" si="12"/>
        <v>50000000</v>
      </c>
      <c r="Y156" s="212"/>
      <c r="Z156" s="213"/>
      <c r="AA156" s="214"/>
      <c r="AB156" s="181"/>
      <c r="AC156" s="181"/>
      <c r="AD156" s="181"/>
      <c r="AE156" s="181"/>
      <c r="AF156" s="181"/>
      <c r="AG156" s="181"/>
      <c r="AH156" s="181"/>
    </row>
    <row r="157" spans="1:34" ht="34" x14ac:dyDescent="0.2">
      <c r="A157" s="369"/>
      <c r="B157" s="203" t="s">
        <v>241</v>
      </c>
      <c r="C157" s="271"/>
      <c r="D157" s="276"/>
      <c r="E157" s="111" t="s">
        <v>363</v>
      </c>
      <c r="F157" s="111" t="s">
        <v>363</v>
      </c>
      <c r="G157" s="111" t="s">
        <v>363</v>
      </c>
      <c r="H157" s="276"/>
      <c r="I157" s="111" t="s">
        <v>363</v>
      </c>
      <c r="J157" s="111" t="s">
        <v>363</v>
      </c>
      <c r="K157" s="111" t="s">
        <v>363</v>
      </c>
      <c r="L157" s="276"/>
      <c r="M157" s="23"/>
      <c r="N157" s="23"/>
      <c r="O157" s="23"/>
      <c r="P157" s="276"/>
      <c r="Q157" s="23"/>
      <c r="R157" s="23"/>
      <c r="S157" s="23"/>
      <c r="T157" s="276"/>
      <c r="U157" s="291" t="s">
        <v>312</v>
      </c>
      <c r="V157" s="1"/>
      <c r="W157" s="218"/>
      <c r="X157" s="211">
        <f t="shared" si="12"/>
        <v>0</v>
      </c>
      <c r="Y157" s="216"/>
      <c r="Z157" s="4"/>
      <c r="AA157" s="77"/>
    </row>
    <row r="158" spans="1:34" ht="51" x14ac:dyDescent="0.2">
      <c r="A158" s="369"/>
      <c r="B158" s="203" t="s">
        <v>242</v>
      </c>
      <c r="C158" s="271"/>
      <c r="D158" s="276"/>
      <c r="E158" s="111" t="s">
        <v>363</v>
      </c>
      <c r="F158" s="111" t="s">
        <v>363</v>
      </c>
      <c r="G158" s="111" t="s">
        <v>363</v>
      </c>
      <c r="H158" s="276"/>
      <c r="I158" s="23"/>
      <c r="J158" s="23"/>
      <c r="K158" s="23"/>
      <c r="L158" s="276"/>
      <c r="M158" s="23"/>
      <c r="N158" s="23"/>
      <c r="O158" s="23"/>
      <c r="P158" s="276"/>
      <c r="Q158" s="23"/>
      <c r="R158" s="23"/>
      <c r="S158" s="23"/>
      <c r="T158" s="276"/>
      <c r="U158" s="291" t="s">
        <v>313</v>
      </c>
      <c r="V158" s="1"/>
      <c r="W158" s="218"/>
      <c r="X158" s="211">
        <f t="shared" si="12"/>
        <v>0</v>
      </c>
      <c r="Y158" s="216"/>
      <c r="Z158" s="4"/>
      <c r="AA158" s="77"/>
    </row>
    <row r="159" spans="1:34" ht="34" x14ac:dyDescent="0.2">
      <c r="A159" s="369"/>
      <c r="B159" s="203" t="s">
        <v>243</v>
      </c>
      <c r="C159" s="271"/>
      <c r="D159" s="276"/>
      <c r="E159" s="23"/>
      <c r="F159" s="23"/>
      <c r="G159" s="23"/>
      <c r="H159" s="276"/>
      <c r="I159" s="111" t="s">
        <v>363</v>
      </c>
      <c r="J159" s="111" t="s">
        <v>363</v>
      </c>
      <c r="K159" s="111" t="s">
        <v>363</v>
      </c>
      <c r="L159" s="276"/>
      <c r="M159" s="111" t="s">
        <v>363</v>
      </c>
      <c r="N159" s="111" t="s">
        <v>363</v>
      </c>
      <c r="O159" s="111" t="s">
        <v>363</v>
      </c>
      <c r="P159" s="276"/>
      <c r="Q159" s="23"/>
      <c r="R159" s="23"/>
      <c r="S159" s="23"/>
      <c r="T159" s="276"/>
      <c r="U159" s="291" t="s">
        <v>314</v>
      </c>
      <c r="V159" s="1"/>
      <c r="W159" s="218"/>
      <c r="X159" s="211">
        <f t="shared" si="12"/>
        <v>0</v>
      </c>
      <c r="Y159" s="216"/>
      <c r="Z159" s="4"/>
      <c r="AA159" s="77"/>
    </row>
    <row r="160" spans="1:34" ht="34" x14ac:dyDescent="0.2">
      <c r="A160" s="369"/>
      <c r="B160" s="203" t="s">
        <v>244</v>
      </c>
      <c r="C160" s="271"/>
      <c r="D160" s="276"/>
      <c r="E160" s="23"/>
      <c r="F160" s="23"/>
      <c r="G160" s="23"/>
      <c r="H160" s="276"/>
      <c r="I160" s="23"/>
      <c r="J160" s="23"/>
      <c r="K160" s="23"/>
      <c r="L160" s="276"/>
      <c r="M160" s="111" t="s">
        <v>363</v>
      </c>
      <c r="N160" s="111" t="s">
        <v>363</v>
      </c>
      <c r="O160" s="111" t="s">
        <v>363</v>
      </c>
      <c r="P160" s="276"/>
      <c r="Q160" s="111" t="s">
        <v>363</v>
      </c>
      <c r="R160" s="111" t="s">
        <v>363</v>
      </c>
      <c r="S160" s="111" t="s">
        <v>363</v>
      </c>
      <c r="T160" s="276"/>
      <c r="U160" s="291" t="s">
        <v>315</v>
      </c>
      <c r="V160" s="1"/>
      <c r="W160" s="218"/>
      <c r="X160" s="211">
        <f t="shared" si="12"/>
        <v>0</v>
      </c>
      <c r="Y160" s="216"/>
      <c r="Z160" s="4"/>
      <c r="AA160" s="77"/>
    </row>
    <row r="161" spans="1:34" ht="51" x14ac:dyDescent="0.2">
      <c r="A161" s="369"/>
      <c r="B161" s="203" t="s">
        <v>256</v>
      </c>
      <c r="C161" s="271"/>
      <c r="D161" s="276"/>
      <c r="E161" s="23"/>
      <c r="F161" s="23"/>
      <c r="G161" s="23"/>
      <c r="H161" s="276"/>
      <c r="I161" s="23"/>
      <c r="J161" s="23"/>
      <c r="K161" s="23"/>
      <c r="L161" s="276"/>
      <c r="M161" s="111" t="s">
        <v>363</v>
      </c>
      <c r="N161" s="111" t="s">
        <v>363</v>
      </c>
      <c r="O161" s="111" t="s">
        <v>363</v>
      </c>
      <c r="P161" s="276"/>
      <c r="Q161" s="111" t="s">
        <v>363</v>
      </c>
      <c r="R161" s="111" t="s">
        <v>363</v>
      </c>
      <c r="S161" s="111" t="s">
        <v>363</v>
      </c>
      <c r="T161" s="276"/>
      <c r="U161" s="291" t="s">
        <v>316</v>
      </c>
      <c r="V161" s="1"/>
      <c r="W161" s="218"/>
      <c r="X161" s="211">
        <f t="shared" si="12"/>
        <v>0</v>
      </c>
      <c r="Y161" s="216"/>
      <c r="Z161" s="4"/>
      <c r="AA161" s="77"/>
    </row>
    <row r="162" spans="1:34" s="182" customFormat="1" ht="13.75" customHeight="1" x14ac:dyDescent="0.15">
      <c r="A162" s="383" t="s">
        <v>257</v>
      </c>
      <c r="B162" s="383"/>
      <c r="C162" s="307"/>
      <c r="D162" s="304"/>
      <c r="E162" s="304"/>
      <c r="F162" s="304"/>
      <c r="G162" s="305"/>
      <c r="H162" s="305"/>
      <c r="I162" s="305"/>
      <c r="J162" s="305"/>
      <c r="K162" s="305"/>
      <c r="L162" s="305"/>
      <c r="M162" s="305"/>
      <c r="N162" s="305"/>
      <c r="O162" s="305"/>
      <c r="P162" s="305"/>
      <c r="Q162" s="305"/>
      <c r="R162" s="305"/>
      <c r="S162" s="305"/>
      <c r="T162" s="305"/>
      <c r="U162" s="306"/>
      <c r="V162" s="314"/>
      <c r="W162" s="313">
        <f>+W163+W168+W176</f>
        <v>300000</v>
      </c>
      <c r="X162" s="313">
        <f t="shared" si="12"/>
        <v>150000000</v>
      </c>
      <c r="Y162" s="305"/>
      <c r="Z162" s="305"/>
      <c r="AA162" s="306"/>
      <c r="AB162" s="181"/>
      <c r="AC162" s="181"/>
      <c r="AD162" s="181"/>
      <c r="AE162" s="181"/>
      <c r="AF162" s="181"/>
      <c r="AG162" s="181"/>
      <c r="AH162" s="181"/>
    </row>
    <row r="163" spans="1:34" s="182" customFormat="1" ht="15.5" customHeight="1" x14ac:dyDescent="0.2">
      <c r="A163" s="369" t="s">
        <v>258</v>
      </c>
      <c r="B163" s="204"/>
      <c r="C163" s="272"/>
      <c r="D163" s="276"/>
      <c r="E163" s="204"/>
      <c r="F163" s="204"/>
      <c r="G163" s="204"/>
      <c r="H163" s="276"/>
      <c r="I163" s="204"/>
      <c r="J163" s="204"/>
      <c r="K163" s="204"/>
      <c r="L163" s="276"/>
      <c r="M163" s="204"/>
      <c r="N163" s="204"/>
      <c r="O163" s="204"/>
      <c r="P163" s="276"/>
      <c r="Q163" s="204"/>
      <c r="R163" s="204"/>
      <c r="S163" s="204"/>
      <c r="T163" s="276"/>
      <c r="U163" s="231"/>
      <c r="V163" s="204"/>
      <c r="W163" s="211">
        <v>100000</v>
      </c>
      <c r="X163" s="211">
        <f t="shared" si="12"/>
        <v>50000000</v>
      </c>
      <c r="Y163" s="212"/>
      <c r="Z163" s="213"/>
      <c r="AA163" s="214"/>
      <c r="AB163" s="181"/>
      <c r="AC163" s="181"/>
      <c r="AD163" s="181"/>
      <c r="AE163" s="181"/>
      <c r="AF163" s="181"/>
      <c r="AG163" s="181"/>
      <c r="AH163" s="181"/>
    </row>
    <row r="164" spans="1:34" ht="119" x14ac:dyDescent="0.2">
      <c r="A164" s="369"/>
      <c r="B164" s="203" t="s">
        <v>259</v>
      </c>
      <c r="C164" s="271"/>
      <c r="D164" s="276"/>
      <c r="E164" s="23"/>
      <c r="F164" s="23"/>
      <c r="G164" s="23"/>
      <c r="H164" s="276"/>
      <c r="I164" s="23"/>
      <c r="J164" s="23"/>
      <c r="K164" s="23"/>
      <c r="L164" s="276"/>
      <c r="M164" s="23"/>
      <c r="N164" s="23"/>
      <c r="O164" s="23"/>
      <c r="P164" s="276"/>
      <c r="Q164" s="111" t="s">
        <v>363</v>
      </c>
      <c r="R164" s="111" t="s">
        <v>363</v>
      </c>
      <c r="S164" s="111" t="s">
        <v>363</v>
      </c>
      <c r="T164" s="276"/>
      <c r="U164" s="291" t="s">
        <v>317</v>
      </c>
      <c r="V164" s="1"/>
      <c r="W164" s="218"/>
      <c r="X164" s="211">
        <f t="shared" si="12"/>
        <v>0</v>
      </c>
      <c r="Y164" s="216"/>
      <c r="Z164" s="4"/>
      <c r="AA164" s="77"/>
    </row>
    <row r="165" spans="1:34" ht="102" x14ac:dyDescent="0.2">
      <c r="A165" s="369"/>
      <c r="B165" s="203" t="s">
        <v>260</v>
      </c>
      <c r="C165" s="271"/>
      <c r="D165" s="276"/>
      <c r="E165" s="23"/>
      <c r="F165" s="23"/>
      <c r="G165" s="23"/>
      <c r="H165" s="276"/>
      <c r="I165" s="23"/>
      <c r="J165" s="23"/>
      <c r="K165" s="23"/>
      <c r="L165" s="276"/>
      <c r="M165" s="23"/>
      <c r="N165" s="23"/>
      <c r="O165" s="23"/>
      <c r="P165" s="276"/>
      <c r="Q165" s="111" t="s">
        <v>363</v>
      </c>
      <c r="R165" s="111" t="s">
        <v>363</v>
      </c>
      <c r="S165" s="111" t="s">
        <v>363</v>
      </c>
      <c r="T165" s="276"/>
      <c r="U165" s="291" t="s">
        <v>318</v>
      </c>
      <c r="V165" s="1"/>
      <c r="W165" s="218"/>
      <c r="X165" s="211">
        <f t="shared" si="12"/>
        <v>0</v>
      </c>
      <c r="Y165" s="216"/>
      <c r="Z165" s="4"/>
      <c r="AA165" s="77"/>
    </row>
    <row r="166" spans="1:34" ht="85" x14ac:dyDescent="0.2">
      <c r="A166" s="369"/>
      <c r="B166" s="203" t="s">
        <v>261</v>
      </c>
      <c r="C166" s="271"/>
      <c r="D166" s="276"/>
      <c r="E166" s="23"/>
      <c r="F166" s="23"/>
      <c r="G166" s="23"/>
      <c r="H166" s="276"/>
      <c r="I166" s="23"/>
      <c r="J166" s="23"/>
      <c r="K166" s="23"/>
      <c r="L166" s="276"/>
      <c r="M166" s="23"/>
      <c r="N166" s="23"/>
      <c r="O166" s="23"/>
      <c r="P166" s="276"/>
      <c r="Q166" s="111" t="s">
        <v>363</v>
      </c>
      <c r="R166" s="111" t="s">
        <v>363</v>
      </c>
      <c r="S166" s="111" t="s">
        <v>363</v>
      </c>
      <c r="T166" s="276"/>
      <c r="U166" s="291" t="s">
        <v>319</v>
      </c>
      <c r="V166" s="1"/>
      <c r="W166" s="218"/>
      <c r="X166" s="211">
        <f t="shared" si="12"/>
        <v>0</v>
      </c>
      <c r="Y166" s="216"/>
      <c r="Z166" s="4"/>
      <c r="AA166" s="77"/>
    </row>
    <row r="167" spans="1:34" ht="85" x14ac:dyDescent="0.2">
      <c r="A167" s="369"/>
      <c r="B167" s="203" t="s">
        <v>262</v>
      </c>
      <c r="C167" s="271"/>
      <c r="D167" s="276"/>
      <c r="E167" s="111" t="s">
        <v>363</v>
      </c>
      <c r="F167" s="111" t="s">
        <v>363</v>
      </c>
      <c r="G167" s="111" t="s">
        <v>363</v>
      </c>
      <c r="H167" s="276"/>
      <c r="I167" s="23"/>
      <c r="J167" s="23"/>
      <c r="K167" s="23"/>
      <c r="L167" s="276"/>
      <c r="M167" s="23"/>
      <c r="N167" s="23"/>
      <c r="O167" s="23"/>
      <c r="P167" s="276"/>
      <c r="Q167" s="23"/>
      <c r="R167" s="23"/>
      <c r="S167" s="23"/>
      <c r="T167" s="276"/>
      <c r="U167" s="291" t="s">
        <v>320</v>
      </c>
      <c r="V167" s="1"/>
      <c r="W167" s="218"/>
      <c r="X167" s="211">
        <f t="shared" si="12"/>
        <v>0</v>
      </c>
      <c r="Y167" s="216"/>
      <c r="Z167" s="4"/>
      <c r="AA167" s="77"/>
    </row>
    <row r="168" spans="1:34" s="250" customFormat="1" ht="16" x14ac:dyDescent="0.2">
      <c r="A168" s="369" t="s">
        <v>263</v>
      </c>
      <c r="B168" s="244"/>
      <c r="C168" s="274"/>
      <c r="D168" s="276"/>
      <c r="E168" s="244"/>
      <c r="F168" s="244"/>
      <c r="G168" s="244"/>
      <c r="H168" s="276"/>
      <c r="I168" s="244"/>
      <c r="J168" s="244"/>
      <c r="K168" s="244"/>
      <c r="L168" s="276"/>
      <c r="M168" s="244"/>
      <c r="N168" s="244"/>
      <c r="O168" s="244"/>
      <c r="P168" s="276"/>
      <c r="Q168" s="244"/>
      <c r="R168" s="244"/>
      <c r="S168" s="244"/>
      <c r="T168" s="276"/>
      <c r="U168" s="292"/>
      <c r="V168" s="244"/>
      <c r="W168" s="246">
        <v>100000</v>
      </c>
      <c r="X168" s="246">
        <f t="shared" si="12"/>
        <v>50000000</v>
      </c>
      <c r="Y168" s="247"/>
      <c r="Z168" s="248"/>
      <c r="AA168" s="249"/>
      <c r="AB168" s="245"/>
      <c r="AC168" s="245"/>
      <c r="AD168" s="245"/>
      <c r="AE168" s="245"/>
      <c r="AF168" s="245"/>
      <c r="AG168" s="245"/>
      <c r="AH168" s="245"/>
    </row>
    <row r="169" spans="1:34" ht="34" x14ac:dyDescent="0.2">
      <c r="A169" s="369"/>
      <c r="B169" s="203" t="s">
        <v>264</v>
      </c>
      <c r="C169" s="271"/>
      <c r="D169" s="276"/>
      <c r="E169" s="23"/>
      <c r="F169" s="23"/>
      <c r="G169" s="23"/>
      <c r="H169" s="276"/>
      <c r="I169" s="111" t="s">
        <v>363</v>
      </c>
      <c r="J169" s="111" t="s">
        <v>363</v>
      </c>
      <c r="K169" s="111" t="s">
        <v>363</v>
      </c>
      <c r="L169" s="276"/>
      <c r="M169" s="111" t="s">
        <v>363</v>
      </c>
      <c r="N169" s="111" t="s">
        <v>363</v>
      </c>
      <c r="O169" s="111" t="s">
        <v>363</v>
      </c>
      <c r="P169" s="276"/>
      <c r="Q169" s="111" t="s">
        <v>363</v>
      </c>
      <c r="R169" s="111" t="s">
        <v>363</v>
      </c>
      <c r="S169" s="111" t="s">
        <v>363</v>
      </c>
      <c r="T169" s="276"/>
      <c r="U169" s="291" t="s">
        <v>321</v>
      </c>
      <c r="V169" s="1"/>
      <c r="W169" s="218"/>
      <c r="X169" s="211">
        <f t="shared" si="12"/>
        <v>0</v>
      </c>
      <c r="Y169" s="216"/>
      <c r="Z169" s="4"/>
      <c r="AA169" s="77"/>
    </row>
    <row r="170" spans="1:34" ht="68" x14ac:dyDescent="0.2">
      <c r="A170" s="369"/>
      <c r="B170" s="203" t="s">
        <v>265</v>
      </c>
      <c r="C170" s="271"/>
      <c r="D170" s="276"/>
      <c r="E170" s="23"/>
      <c r="F170" s="23"/>
      <c r="G170" s="23"/>
      <c r="H170" s="276"/>
      <c r="I170" s="23"/>
      <c r="J170" s="23"/>
      <c r="K170" s="23"/>
      <c r="L170" s="276"/>
      <c r="M170" s="111" t="s">
        <v>363</v>
      </c>
      <c r="N170" s="111" t="s">
        <v>363</v>
      </c>
      <c r="O170" s="111" t="s">
        <v>363</v>
      </c>
      <c r="P170" s="276"/>
      <c r="Q170" s="111" t="s">
        <v>363</v>
      </c>
      <c r="R170" s="111" t="s">
        <v>363</v>
      </c>
      <c r="S170" s="111" t="s">
        <v>363</v>
      </c>
      <c r="T170" s="276"/>
      <c r="U170" s="291" t="s">
        <v>322</v>
      </c>
      <c r="V170" s="1"/>
      <c r="W170" s="218"/>
      <c r="X170" s="211">
        <f t="shared" si="12"/>
        <v>0</v>
      </c>
      <c r="Y170" s="216"/>
      <c r="Z170" s="4"/>
      <c r="AA170" s="77"/>
    </row>
    <row r="171" spans="1:34" ht="68" x14ac:dyDescent="0.2">
      <c r="A171" s="369"/>
      <c r="B171" s="203" t="s">
        <v>266</v>
      </c>
      <c r="C171" s="271"/>
      <c r="D171" s="276"/>
      <c r="E171" s="23"/>
      <c r="F171" s="23"/>
      <c r="G171" s="23"/>
      <c r="H171" s="276"/>
      <c r="I171" s="23"/>
      <c r="J171" s="23"/>
      <c r="K171" s="23"/>
      <c r="L171" s="276"/>
      <c r="M171" s="23"/>
      <c r="N171" s="23"/>
      <c r="O171" s="23"/>
      <c r="P171" s="276"/>
      <c r="Q171" s="111" t="s">
        <v>363</v>
      </c>
      <c r="R171" s="111" t="s">
        <v>363</v>
      </c>
      <c r="S171" s="111" t="s">
        <v>363</v>
      </c>
      <c r="T171" s="276"/>
      <c r="U171" s="291" t="s">
        <v>323</v>
      </c>
      <c r="V171" s="1"/>
      <c r="W171" s="218"/>
      <c r="X171" s="211">
        <f t="shared" si="12"/>
        <v>0</v>
      </c>
      <c r="Y171" s="216"/>
      <c r="Z171" s="4"/>
      <c r="AA171" s="77"/>
    </row>
    <row r="172" spans="1:34" ht="51" x14ac:dyDescent="0.2">
      <c r="A172" s="369"/>
      <c r="B172" s="203" t="s">
        <v>267</v>
      </c>
      <c r="C172" s="271"/>
      <c r="D172" s="276"/>
      <c r="E172" s="23"/>
      <c r="F172" s="23"/>
      <c r="G172" s="23"/>
      <c r="H172" s="276"/>
      <c r="I172" s="23"/>
      <c r="J172" s="23"/>
      <c r="K172" s="23"/>
      <c r="L172" s="276"/>
      <c r="M172" s="23"/>
      <c r="N172" s="23"/>
      <c r="O172" s="23"/>
      <c r="P172" s="276"/>
      <c r="Q172" s="111" t="s">
        <v>363</v>
      </c>
      <c r="R172" s="111" t="s">
        <v>363</v>
      </c>
      <c r="S172" s="111" t="s">
        <v>363</v>
      </c>
      <c r="T172" s="276"/>
      <c r="U172" s="291" t="s">
        <v>324</v>
      </c>
      <c r="V172" s="1"/>
      <c r="W172" s="218"/>
      <c r="X172" s="211">
        <f t="shared" si="12"/>
        <v>0</v>
      </c>
      <c r="Y172" s="216"/>
      <c r="Z172" s="4"/>
      <c r="AA172" s="77"/>
    </row>
    <row r="173" spans="1:34" ht="34" x14ac:dyDescent="0.2">
      <c r="A173" s="369"/>
      <c r="B173" s="203" t="s">
        <v>268</v>
      </c>
      <c r="C173" s="271"/>
      <c r="D173" s="276"/>
      <c r="E173" s="23"/>
      <c r="F173" s="23"/>
      <c r="G173" s="23"/>
      <c r="H173" s="276"/>
      <c r="I173" s="23"/>
      <c r="J173" s="23"/>
      <c r="K173" s="23"/>
      <c r="L173" s="276"/>
      <c r="M173" s="23"/>
      <c r="N173" s="23"/>
      <c r="O173" s="23"/>
      <c r="P173" s="276"/>
      <c r="Q173" s="111" t="s">
        <v>363</v>
      </c>
      <c r="R173" s="111" t="s">
        <v>363</v>
      </c>
      <c r="S173" s="111" t="s">
        <v>363</v>
      </c>
      <c r="T173" s="276"/>
      <c r="U173" s="291" t="s">
        <v>325</v>
      </c>
      <c r="V173" s="1"/>
      <c r="W173" s="218"/>
      <c r="X173" s="211">
        <f t="shared" si="12"/>
        <v>0</v>
      </c>
      <c r="Y173" s="216"/>
      <c r="Z173" s="4"/>
      <c r="AA173" s="77"/>
    </row>
    <row r="174" spans="1:34" ht="34" x14ac:dyDescent="0.2">
      <c r="A174" s="369"/>
      <c r="B174" s="203" t="s">
        <v>269</v>
      </c>
      <c r="C174" s="271"/>
      <c r="D174" s="276"/>
      <c r="E174" s="23"/>
      <c r="F174" s="23"/>
      <c r="G174" s="23"/>
      <c r="H174" s="276"/>
      <c r="I174" s="23"/>
      <c r="J174" s="23"/>
      <c r="K174" s="23"/>
      <c r="L174" s="276"/>
      <c r="M174" s="23"/>
      <c r="N174" s="23"/>
      <c r="O174" s="23"/>
      <c r="P174" s="276"/>
      <c r="Q174" s="111" t="s">
        <v>363</v>
      </c>
      <c r="R174" s="111" t="s">
        <v>363</v>
      </c>
      <c r="S174" s="111" t="s">
        <v>363</v>
      </c>
      <c r="T174" s="276"/>
      <c r="U174" s="291" t="s">
        <v>326</v>
      </c>
      <c r="V174" s="1"/>
      <c r="W174" s="218"/>
      <c r="X174" s="211">
        <f t="shared" si="12"/>
        <v>0</v>
      </c>
      <c r="Y174" s="216"/>
      <c r="Z174" s="4"/>
      <c r="AA174" s="77"/>
    </row>
    <row r="175" spans="1:34" ht="34" x14ac:dyDescent="0.2">
      <c r="A175" s="369"/>
      <c r="B175" s="203" t="s">
        <v>270</v>
      </c>
      <c r="C175" s="271"/>
      <c r="D175" s="276"/>
      <c r="E175" s="23"/>
      <c r="F175" s="23"/>
      <c r="G175" s="23"/>
      <c r="H175" s="276"/>
      <c r="I175" s="23"/>
      <c r="J175" s="23"/>
      <c r="K175" s="23"/>
      <c r="L175" s="276"/>
      <c r="M175" s="23"/>
      <c r="N175" s="23"/>
      <c r="O175" s="23"/>
      <c r="P175" s="276"/>
      <c r="Q175" s="111" t="s">
        <v>363</v>
      </c>
      <c r="R175" s="111" t="s">
        <v>363</v>
      </c>
      <c r="S175" s="111" t="s">
        <v>363</v>
      </c>
      <c r="T175" s="276"/>
      <c r="U175" s="291" t="s">
        <v>327</v>
      </c>
      <c r="V175" s="1"/>
      <c r="W175" s="218"/>
      <c r="X175" s="211">
        <f t="shared" si="12"/>
        <v>0</v>
      </c>
      <c r="Y175" s="216"/>
      <c r="Z175" s="4"/>
      <c r="AA175" s="77"/>
    </row>
    <row r="176" spans="1:34" s="182" customFormat="1" ht="15.5" customHeight="1" x14ac:dyDescent="0.15">
      <c r="A176" s="369" t="s">
        <v>271</v>
      </c>
      <c r="B176" s="204"/>
      <c r="C176" s="272"/>
      <c r="D176" s="204"/>
      <c r="E176" s="204"/>
      <c r="F176" s="204"/>
      <c r="G176" s="204"/>
      <c r="H176" s="204"/>
      <c r="I176" s="204"/>
      <c r="J176" s="204"/>
      <c r="K176" s="204"/>
      <c r="L176" s="204"/>
      <c r="M176" s="204"/>
      <c r="N176" s="204"/>
      <c r="O176" s="204"/>
      <c r="P176" s="204"/>
      <c r="Q176" s="204"/>
      <c r="R176" s="204"/>
      <c r="S176" s="204"/>
      <c r="T176" s="204"/>
      <c r="U176" s="231"/>
      <c r="V176" s="204"/>
      <c r="W176" s="211">
        <v>100000</v>
      </c>
      <c r="X176" s="211">
        <f t="shared" si="12"/>
        <v>50000000</v>
      </c>
      <c r="Y176" s="212"/>
      <c r="Z176" s="213"/>
      <c r="AA176" s="214"/>
      <c r="AB176" s="181"/>
      <c r="AC176" s="181"/>
      <c r="AD176" s="181"/>
      <c r="AE176" s="181"/>
      <c r="AF176" s="181"/>
      <c r="AG176" s="181"/>
      <c r="AH176" s="181"/>
    </row>
    <row r="177" spans="1:34" ht="34" x14ac:dyDescent="0.2">
      <c r="A177" s="369"/>
      <c r="B177" s="203" t="s">
        <v>273</v>
      </c>
      <c r="C177" s="271"/>
      <c r="D177" s="276"/>
      <c r="E177" s="23"/>
      <c r="F177" s="23"/>
      <c r="G177" s="23"/>
      <c r="H177" s="276"/>
      <c r="I177" s="23"/>
      <c r="J177" s="23"/>
      <c r="K177" s="23"/>
      <c r="L177" s="276"/>
      <c r="M177" s="23"/>
      <c r="N177" s="23"/>
      <c r="O177" s="23"/>
      <c r="P177" s="276"/>
      <c r="Q177" s="111" t="s">
        <v>363</v>
      </c>
      <c r="R177" s="111" t="s">
        <v>363</v>
      </c>
      <c r="S177" s="111" t="s">
        <v>363</v>
      </c>
      <c r="T177" s="276"/>
      <c r="U177" s="291" t="s">
        <v>328</v>
      </c>
      <c r="V177" s="1"/>
      <c r="W177" s="218"/>
      <c r="X177" s="211">
        <f t="shared" si="12"/>
        <v>0</v>
      </c>
      <c r="Y177" s="216"/>
      <c r="Z177" s="4"/>
      <c r="AA177" s="77"/>
    </row>
    <row r="178" spans="1:34" ht="51" x14ac:dyDescent="0.2">
      <c r="A178" s="369"/>
      <c r="B178" s="203" t="s">
        <v>274</v>
      </c>
      <c r="C178" s="271"/>
      <c r="D178" s="276"/>
      <c r="E178" s="23"/>
      <c r="F178" s="23"/>
      <c r="G178" s="23"/>
      <c r="H178" s="276"/>
      <c r="I178" s="23"/>
      <c r="J178" s="23"/>
      <c r="K178" s="23"/>
      <c r="L178" s="276"/>
      <c r="M178" s="23"/>
      <c r="N178" s="23"/>
      <c r="O178" s="23"/>
      <c r="P178" s="276"/>
      <c r="Q178" s="111" t="s">
        <v>363</v>
      </c>
      <c r="R178" s="111" t="s">
        <v>363</v>
      </c>
      <c r="S178" s="111" t="s">
        <v>363</v>
      </c>
      <c r="T178" s="276"/>
      <c r="U178" s="291" t="s">
        <v>329</v>
      </c>
      <c r="V178" s="1"/>
      <c r="W178" s="218"/>
      <c r="X178" s="211">
        <f t="shared" si="12"/>
        <v>0</v>
      </c>
      <c r="Y178" s="216"/>
      <c r="Z178" s="4"/>
      <c r="AA178" s="77"/>
    </row>
    <row r="179" spans="1:34" ht="51" x14ac:dyDescent="0.2">
      <c r="A179" s="369"/>
      <c r="B179" s="206" t="s">
        <v>272</v>
      </c>
      <c r="C179" s="275"/>
      <c r="D179" s="276"/>
      <c r="E179" s="23"/>
      <c r="F179" s="23"/>
      <c r="G179" s="23"/>
      <c r="H179" s="276"/>
      <c r="I179" s="23"/>
      <c r="J179" s="23"/>
      <c r="K179" s="23"/>
      <c r="L179" s="276"/>
      <c r="M179" s="23"/>
      <c r="N179" s="23"/>
      <c r="O179" s="23"/>
      <c r="P179" s="276"/>
      <c r="Q179" s="111" t="s">
        <v>363</v>
      </c>
      <c r="R179" s="111" t="s">
        <v>363</v>
      </c>
      <c r="S179" s="111" t="s">
        <v>363</v>
      </c>
      <c r="T179" s="276"/>
      <c r="U179" s="293" t="s">
        <v>330</v>
      </c>
      <c r="V179" s="1"/>
      <c r="W179" s="218"/>
      <c r="X179" s="211">
        <f t="shared" si="12"/>
        <v>0</v>
      </c>
      <c r="Y179" s="216"/>
      <c r="Z179" s="4"/>
      <c r="AA179" s="77"/>
    </row>
    <row r="180" spans="1:34" s="182" customFormat="1" ht="15" x14ac:dyDescent="0.15">
      <c r="A180" s="192" t="s">
        <v>149</v>
      </c>
      <c r="B180" s="193"/>
      <c r="C180" s="193"/>
      <c r="D180" s="193"/>
      <c r="E180" s="193"/>
      <c r="F180" s="193"/>
      <c r="G180" s="193"/>
      <c r="H180" s="193"/>
      <c r="I180" s="193"/>
      <c r="J180" s="193"/>
      <c r="K180" s="193"/>
      <c r="L180" s="193"/>
      <c r="M180" s="193"/>
      <c r="N180" s="193"/>
      <c r="O180" s="193"/>
      <c r="P180" s="193"/>
      <c r="Q180" s="193"/>
      <c r="R180" s="193"/>
      <c r="S180" s="193"/>
      <c r="T180" s="193"/>
      <c r="U180" s="220"/>
      <c r="V180" s="221"/>
      <c r="W180" s="222">
        <f>+W126+W121+W103+W73+W35+W9</f>
        <v>3600574.4384615384</v>
      </c>
      <c r="X180" s="222">
        <f>+W180*500</f>
        <v>1800287219.2307692</v>
      </c>
      <c r="Y180" s="223"/>
      <c r="Z180" s="224"/>
      <c r="AA180" s="225"/>
      <c r="AB180" s="181"/>
      <c r="AC180" s="181"/>
      <c r="AD180" s="181"/>
      <c r="AE180" s="181"/>
      <c r="AF180" s="181"/>
      <c r="AG180" s="181"/>
      <c r="AH180" s="181"/>
    </row>
  </sheetData>
  <mergeCells count="109">
    <mergeCell ref="A168:A175"/>
    <mergeCell ref="E121:G121"/>
    <mergeCell ref="I121:K121"/>
    <mergeCell ref="M121:O121"/>
    <mergeCell ref="A162:B162"/>
    <mergeCell ref="A126:B126"/>
    <mergeCell ref="Q121:S121"/>
    <mergeCell ref="U123:U124"/>
    <mergeCell ref="A122:B122"/>
    <mergeCell ref="E126:G126"/>
    <mergeCell ref="I126:K126"/>
    <mergeCell ref="M126:O126"/>
    <mergeCell ref="Q126:S126"/>
    <mergeCell ref="A176:A179"/>
    <mergeCell ref="A163:A167"/>
    <mergeCell ref="AA81:AA85"/>
    <mergeCell ref="AA71:AA72"/>
    <mergeCell ref="A87:A89"/>
    <mergeCell ref="A111:B111"/>
    <mergeCell ref="A90:A93"/>
    <mergeCell ref="U105:U107"/>
    <mergeCell ref="A105:A107"/>
    <mergeCell ref="AA105:AA106"/>
    <mergeCell ref="AA87:AA89"/>
    <mergeCell ref="AA90:AA93"/>
    <mergeCell ref="A113:A115"/>
    <mergeCell ref="U113:U115"/>
    <mergeCell ref="AA113:AA115"/>
    <mergeCell ref="A104:B104"/>
    <mergeCell ref="A123:A125"/>
    <mergeCell ref="D123:D125"/>
    <mergeCell ref="AA123:AA125"/>
    <mergeCell ref="A127:B127"/>
    <mergeCell ref="A140:B140"/>
    <mergeCell ref="A141:A147"/>
    <mergeCell ref="A148:A155"/>
    <mergeCell ref="A156:A161"/>
    <mergeCell ref="W45:W46"/>
    <mergeCell ref="U116:U120"/>
    <mergeCell ref="AA116:AA120"/>
    <mergeCell ref="A101:A102"/>
    <mergeCell ref="A94:A96"/>
    <mergeCell ref="AA44:AA46"/>
    <mergeCell ref="A31:A34"/>
    <mergeCell ref="AA32:AA34"/>
    <mergeCell ref="A75:A77"/>
    <mergeCell ref="AA75:AA77"/>
    <mergeCell ref="U75:U77"/>
    <mergeCell ref="A71:A72"/>
    <mergeCell ref="AA48:AA52"/>
    <mergeCell ref="A53:A54"/>
    <mergeCell ref="AA53:AA54"/>
    <mergeCell ref="A56:A58"/>
    <mergeCell ref="AA56:AA58"/>
    <mergeCell ref="A67:A68"/>
    <mergeCell ref="AA67:AA68"/>
    <mergeCell ref="A59:B59"/>
    <mergeCell ref="A61:B61"/>
    <mergeCell ref="A44:A46"/>
    <mergeCell ref="A81:A85"/>
    <mergeCell ref="U81:U85"/>
    <mergeCell ref="AA95:AA96"/>
    <mergeCell ref="U78:U80"/>
    <mergeCell ref="M7:O7"/>
    <mergeCell ref="W39:W40"/>
    <mergeCell ref="AA7:AA8"/>
    <mergeCell ref="W7:W8"/>
    <mergeCell ref="A20:A21"/>
    <mergeCell ref="A41:A42"/>
    <mergeCell ref="A39:A40"/>
    <mergeCell ref="Y7:Y8"/>
    <mergeCell ref="Z7:Z8"/>
    <mergeCell ref="A26:A28"/>
    <mergeCell ref="A29:A30"/>
    <mergeCell ref="AA13:AA14"/>
    <mergeCell ref="AA20:AA21"/>
    <mergeCell ref="AA22:AA25"/>
    <mergeCell ref="A64:A65"/>
    <mergeCell ref="AA78:AA80"/>
    <mergeCell ref="A22:A25"/>
    <mergeCell ref="A70:B70"/>
    <mergeCell ref="A78:A80"/>
    <mergeCell ref="A48:A52"/>
    <mergeCell ref="X7:X8"/>
    <mergeCell ref="X45:X46"/>
    <mergeCell ref="X39:X40"/>
    <mergeCell ref="W41:W42"/>
    <mergeCell ref="X41:X42"/>
    <mergeCell ref="A116:A120"/>
    <mergeCell ref="F4:AA4"/>
    <mergeCell ref="A15:A19"/>
    <mergeCell ref="A1:B1"/>
    <mergeCell ref="F1:AA1"/>
    <mergeCell ref="A2:B2"/>
    <mergeCell ref="E2:AA2"/>
    <mergeCell ref="A5:B5"/>
    <mergeCell ref="F5:AA5"/>
    <mergeCell ref="A10:B10"/>
    <mergeCell ref="Q7:S7"/>
    <mergeCell ref="U7:U8"/>
    <mergeCell ref="V7:V8"/>
    <mergeCell ref="A11:A14"/>
    <mergeCell ref="A6:B6"/>
    <mergeCell ref="E6:AA6"/>
    <mergeCell ref="A7:A8"/>
    <mergeCell ref="B7:B8"/>
    <mergeCell ref="C7:C8"/>
    <mergeCell ref="E7:G7"/>
    <mergeCell ref="I7:K7"/>
  </mergeCells>
  <phoneticPr fontId="26" type="noConversion"/>
  <printOptions horizontalCentered="1"/>
  <pageMargins left="0.39370078740157483" right="0.19685039370078741" top="0.15748031496062992" bottom="0.15748031496062992" header="0.11811023622047245" footer="0.11811023622047245"/>
  <pageSetup paperSize="9" scale="72" orientation="landscape" horizontalDpi="4294967295" verticalDpi="4294967295" r:id="rId1"/>
  <rowBreaks count="5" manualBreakCount="5">
    <brk id="24" max="20" man="1"/>
    <brk id="32" max="20" man="1"/>
    <brk id="58" max="20" man="1"/>
    <brk id="66" max="20" man="1"/>
    <brk id="90" max="2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13"/>
  <sheetViews>
    <sheetView zoomScale="120" zoomScaleNormal="120" workbookViewId="0">
      <selection activeCell="H13" sqref="H13"/>
    </sheetView>
  </sheetViews>
  <sheetFormatPr baseColWidth="10" defaultColWidth="11.5" defaultRowHeight="15" x14ac:dyDescent="0.2"/>
  <cols>
    <col min="1" max="1" width="7.6640625" customWidth="1"/>
    <col min="2" max="2" width="37" customWidth="1"/>
    <col min="3" max="3" width="12" customWidth="1"/>
    <col min="4" max="4" width="13.33203125" customWidth="1"/>
    <col min="5" max="5" width="17" customWidth="1"/>
    <col min="7" max="7" width="2.1640625" customWidth="1"/>
  </cols>
  <sheetData>
    <row r="3" spans="1:7" x14ac:dyDescent="0.2">
      <c r="A3" s="388" t="s">
        <v>194</v>
      </c>
      <c r="B3" s="388"/>
      <c r="C3" s="388"/>
      <c r="D3" s="388"/>
      <c r="E3" s="388"/>
    </row>
    <row r="4" spans="1:7" ht="16" thickBot="1" x14ac:dyDescent="0.25">
      <c r="A4" s="118"/>
      <c r="B4" s="119"/>
      <c r="C4" s="118"/>
      <c r="D4" s="118">
        <v>500</v>
      </c>
      <c r="E4" s="118"/>
    </row>
    <row r="5" spans="1:7" ht="16" thickTop="1" x14ac:dyDescent="0.2">
      <c r="A5" s="120"/>
      <c r="B5" s="121" t="s">
        <v>140</v>
      </c>
      <c r="C5" s="122" t="s">
        <v>141</v>
      </c>
      <c r="D5" s="122" t="s">
        <v>142</v>
      </c>
      <c r="E5" s="123" t="s">
        <v>143</v>
      </c>
    </row>
    <row r="6" spans="1:7" ht="35.25" customHeight="1" x14ac:dyDescent="0.2">
      <c r="A6" s="124">
        <v>1</v>
      </c>
      <c r="B6" s="22" t="s">
        <v>144</v>
      </c>
      <c r="C6" s="125">
        <f>+'PTBA 2023 CERViDA'!W9</f>
        <v>499437.78399999999</v>
      </c>
      <c r="D6" s="126">
        <f t="shared" ref="D6:D11" si="0">+C6*500</f>
        <v>249718892</v>
      </c>
      <c r="E6" s="187">
        <f>+C6/$C$12</f>
        <v>0.17218581856664961</v>
      </c>
      <c r="F6" s="127"/>
    </row>
    <row r="7" spans="1:7" ht="44.25" customHeight="1" x14ac:dyDescent="0.2">
      <c r="A7" s="124">
        <v>2</v>
      </c>
      <c r="B7" s="22" t="s">
        <v>145</v>
      </c>
      <c r="C7" s="125">
        <f>+'PTBA 2023 CERViDA'!W35</f>
        <v>528944.53846153826</v>
      </c>
      <c r="D7" s="126">
        <f t="shared" si="0"/>
        <v>264472269.23076913</v>
      </c>
      <c r="E7" s="187">
        <f>+C7/$C$12</f>
        <v>0.18235854644781668</v>
      </c>
    </row>
    <row r="8" spans="1:7" ht="28.5" customHeight="1" x14ac:dyDescent="0.2">
      <c r="A8" s="124">
        <v>3</v>
      </c>
      <c r="B8" s="22" t="s">
        <v>146</v>
      </c>
      <c r="C8" s="125">
        <f>+'PTBA 2023 CERViDA'!W73</f>
        <v>403000</v>
      </c>
      <c r="D8" s="126">
        <f t="shared" si="0"/>
        <v>201500000</v>
      </c>
      <c r="E8" s="187">
        <f>+C8/$C$12</f>
        <v>0.13893799609354304</v>
      </c>
    </row>
    <row r="9" spans="1:7" ht="28.5" customHeight="1" x14ac:dyDescent="0.2">
      <c r="A9" s="124">
        <v>4</v>
      </c>
      <c r="B9" s="22" t="s">
        <v>147</v>
      </c>
      <c r="C9" s="125">
        <f>+'PTBA 2023 CERViDA'!W103</f>
        <v>178000</v>
      </c>
      <c r="D9" s="126">
        <f t="shared" si="0"/>
        <v>89000000</v>
      </c>
      <c r="E9" s="187">
        <f t="shared" ref="E9:E11" si="1">+C9/$C$12</f>
        <v>6.136715460211082E-2</v>
      </c>
      <c r="F9" s="128"/>
    </row>
    <row r="10" spans="1:7" ht="43.5" customHeight="1" x14ac:dyDescent="0.2">
      <c r="A10" s="124">
        <v>5</v>
      </c>
      <c r="B10" s="22" t="s">
        <v>148</v>
      </c>
      <c r="C10" s="125">
        <f>+'PTBA 2023 CERViDA'!W121</f>
        <v>1291192.1159999999</v>
      </c>
      <c r="D10" s="126">
        <f t="shared" si="0"/>
        <v>645596058</v>
      </c>
      <c r="E10" s="187">
        <f t="shared" si="1"/>
        <v>0.4451504842898798</v>
      </c>
    </row>
    <row r="11" spans="1:7" ht="43.5" customHeight="1" x14ac:dyDescent="0.2">
      <c r="A11" s="195">
        <v>6</v>
      </c>
      <c r="B11" s="200" t="s">
        <v>245</v>
      </c>
      <c r="C11" s="196">
        <f>+'PTBA 2023 CERViDA'!W126</f>
        <v>700000</v>
      </c>
      <c r="D11" s="197">
        <f t="shared" si="0"/>
        <v>350000000</v>
      </c>
      <c r="E11" s="187">
        <f t="shared" si="1"/>
        <v>0.24133150686223356</v>
      </c>
    </row>
    <row r="12" spans="1:7" ht="16" thickBot="1" x14ac:dyDescent="0.25">
      <c r="A12" s="130">
        <v>7</v>
      </c>
      <c r="B12" s="131" t="s">
        <v>149</v>
      </c>
      <c r="C12" s="132">
        <f>SUM(C6:C10)</f>
        <v>2900574.4384615384</v>
      </c>
      <c r="D12" s="133">
        <f>SUM(D6:D11)</f>
        <v>1800287219.2307692</v>
      </c>
      <c r="E12" s="188">
        <f>+C12/C12</f>
        <v>1</v>
      </c>
      <c r="G12" s="129"/>
    </row>
    <row r="13" spans="1:7" ht="16" thickTop="1" x14ac:dyDescent="0.2"/>
  </sheetData>
  <mergeCells count="1">
    <mergeCell ref="A3:E3"/>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D980-7FB4-432D-A720-F14C871659FE}">
  <dimension ref="A1"/>
  <sheetViews>
    <sheetView workbookViewId="0">
      <selection activeCell="A2" sqref="A2"/>
    </sheetView>
  </sheetViews>
  <sheetFormatPr baseColWidth="10"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673C04CFF664498C6D230F7DC9002D" ma:contentTypeVersion="14" ma:contentTypeDescription="Create a new document." ma:contentTypeScope="" ma:versionID="b4f9a02662d3b8955ba9de210575397a">
  <xsd:schema xmlns:xsd="http://www.w3.org/2001/XMLSchema" xmlns:xs="http://www.w3.org/2001/XMLSchema" xmlns:p="http://schemas.microsoft.com/office/2006/metadata/properties" xmlns:ns2="aeaaafad-0aeb-47f1-beb2-3e40a0446ae1" xmlns:ns3="794cbd40-fc6d-4c0a-9217-0f6cd4b26116" targetNamespace="http://schemas.microsoft.com/office/2006/metadata/properties" ma:root="true" ma:fieldsID="c25ca4ebd4cc55bbee69c056d2bf5514" ns2:_="" ns3:_="">
    <xsd:import namespace="aeaaafad-0aeb-47f1-beb2-3e40a0446ae1"/>
    <xsd:import namespace="794cbd40-fc6d-4c0a-9217-0f6cd4b261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aafad-0aeb-47f1-beb2-3e40a0446a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4cbd40-fc6d-4c0a-9217-0f6cd4b261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5E82A2-83AC-4181-B3DD-9D648C0D466A}">
  <ds:schemaRefs>
    <ds:schemaRef ds:uri="http://schemas.microsoft.com/office/2006/metadata/properties"/>
    <ds:schemaRef ds:uri="aeaaafad-0aeb-47f1-beb2-3e40a0446ae1"/>
    <ds:schemaRef ds:uri="http://purl.org/dc/terms/"/>
    <ds:schemaRef ds:uri="http://schemas.openxmlformats.org/package/2006/metadata/core-properties"/>
    <ds:schemaRef ds:uri="http://schemas.microsoft.com/office/2006/documentManagement/types"/>
    <ds:schemaRef ds:uri="http://purl.org/dc/dcmitype/"/>
    <ds:schemaRef ds:uri="794cbd40-fc6d-4c0a-9217-0f6cd4b26116"/>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12DAEC1-3746-4B88-8AFE-BA0F961691CD}">
  <ds:schemaRefs>
    <ds:schemaRef ds:uri="http://schemas.microsoft.com/sharepoint/v3/contenttype/forms"/>
  </ds:schemaRefs>
</ds:datastoreItem>
</file>

<file path=customXml/itemProps3.xml><?xml version="1.0" encoding="utf-8"?>
<ds:datastoreItem xmlns:ds="http://schemas.openxmlformats.org/officeDocument/2006/customXml" ds:itemID="{46E03381-D799-4598-A2D1-01573991B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aafad-0aeb-47f1-beb2-3e40a0446ae1"/>
    <ds:schemaRef ds:uri="794cbd40-fc6d-4c0a-9217-0f6cd4b26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PTBA 2023 CERViDA</vt:lpstr>
      <vt:lpstr>RECAPITULATIF</vt:lpstr>
      <vt:lpstr>Feuil2</vt:lpstr>
      <vt:lpstr>'PTBA 2023 CERViDA'!Zone_d_impression</vt:lpstr>
      <vt:lpstr>RECAPITULATIF!Zone_d_impression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Microsoft Office User</cp:lastModifiedBy>
  <cp:revision/>
  <cp:lastPrinted>2022-03-08T12:19:14Z</cp:lastPrinted>
  <dcterms:created xsi:type="dcterms:W3CDTF">2021-02-14T12:02:58Z</dcterms:created>
  <dcterms:modified xsi:type="dcterms:W3CDTF">2022-11-29T22:37:56Z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0x01010064673C04CFF664498C6D230F7DC9002D</vt:lpwstr>
  </property>
</Properties>
</file>